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Setup" sheetId="3" state="visible" r:id="rId5"/>
    <sheet name="Budget" sheetId="4" state="visible" r:id="rId6"/>
    <sheet name="Actuals" sheetId="5" state="visible" r:id="rId7"/>
    <sheet name="Variance" sheetId="6" state="visible" r:id="rId8"/>
    <sheet name="KPI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<sst xmlns="http://schemas.openxmlformats.org/spreadsheetml/2006/main" count="182" uniqueCount="112">
  <si>
    <t xml:space="preserve">Gym budget and KPI tracker</t>
  </si>
  <si>
    <t xml:space="preserve">Free template from ClubPilot: clubpilot.au/resources</t>
  </si>
  <si>
    <t xml:space="preserve">Set a 12-month budget for a club, enter actuals each month from your profit and loss, and see where you are ahead or behind, with membership KPIs such as churn, revenue per member and marketing cost per join.</t>
  </si>
  <si>
    <t xml:space="preserve">Sheets</t>
  </si>
  <si>
    <t xml:space="preserve">Summary</t>
  </si>
  <si>
    <t xml:space="preserve">Year to date budget, actual and variance for every line, plus membership KPIs.</t>
  </si>
  <si>
    <t xml:space="preserve">Setup</t>
  </si>
  <si>
    <t xml:space="preserve">Club name, financial year start, opening members, average fee, planned growth and the super rate.</t>
  </si>
  <si>
    <t xml:space="preserve">Budget</t>
  </si>
  <si>
    <t xml:space="preserve">Twelve months by line. Membership fees and super are worked out from Setup; type over the other blue figures.</t>
  </si>
  <si>
    <t xml:space="preserve">Actuals</t>
  </si>
  <si>
    <t xml:space="preserve">Enter each month's figures from your profit and loss report.</t>
  </si>
  <si>
    <t xml:space="preserve">Variance</t>
  </si>
  <si>
    <t xml:space="preserve">Better or worse than budget by month and year to date. Positive is good for both income and expenses.</t>
  </si>
  <si>
    <t xml:space="preserve">KPIs</t>
  </si>
  <si>
    <t xml:space="preserve">Members at month end, joins and cancellations, with churn, revenue per member and marketing cost per join.</t>
  </si>
  <si>
    <t xml:space="preserve">How to use it</t>
  </si>
  <si>
    <t xml:space="preserve">1. Setup</t>
  </si>
  <si>
    <t xml:space="preserve">Change the blue assumptions on the Setup sheet for your club.</t>
  </si>
  <si>
    <t xml:space="preserve">2. Budget</t>
  </si>
  <si>
    <t xml:space="preserve">Type your monthly budget over the blue example figures.</t>
  </si>
  <si>
    <t xml:space="preserve">3. Each month</t>
  </si>
  <si>
    <t xml:space="preserve">Clear the four example months on Actuals and KPIs, then add each month as it closes.</t>
  </si>
  <si>
    <t xml:space="preserve">More than one club?</t>
  </si>
  <si>
    <t xml:space="preserve">Save a copy of this file for each club. Keep the same lines so the totals can be added together.</t>
  </si>
  <si>
    <t xml:space="preserve">Colours</t>
  </si>
  <si>
    <t xml:space="preserve">White cells</t>
  </si>
  <si>
    <t xml:space="preserve">Type here. Many have dropdowns.</t>
  </si>
  <si>
    <t xml:space="preserve">Grey cells</t>
  </si>
  <si>
    <t xml:space="preserve">Calculated for you. Do not type over them.</t>
  </si>
  <si>
    <t xml:space="preserve">Blue numbers</t>
  </si>
  <si>
    <t xml:space="preserve">Settings and inputs you can change.</t>
  </si>
  <si>
    <t xml:space="preserve">Google Sheets</t>
  </si>
  <si>
    <t xml:space="preserve">Upload this file to Google Drive and open it with Google Sheets. The formulas, dropdowns and flags work there too.</t>
  </si>
  <si>
    <t xml:space="preserve">Using ClubPilot?</t>
  </si>
  <si>
    <t xml:space="preserve">ClubPilot's monthly finance review lets owners see each club's uploaded figures, marketing spend and approvals side by side, with a record of who reviewed what.</t>
  </si>
  <si>
    <t xml:space="preserve">Try ClubPilot free</t>
  </si>
  <si>
    <t xml:space="preserve">Start a 30-day free trial at clubpilot.au. No card required.</t>
  </si>
  <si>
    <t xml:space="preserve">Year to date</t>
  </si>
  <si>
    <t xml:space="preserve">Club</t>
  </si>
  <si>
    <t xml:space="preserve">Months with actuals</t>
  </si>
  <si>
    <t xml:space="preserve">Year to date ends</t>
  </si>
  <si>
    <t xml:space="preserve">Line</t>
  </si>
  <si>
    <t xml:space="preserve">YTD budget ($)</t>
  </si>
  <si>
    <t xml:space="preserve">YTD actual ($)</t>
  </si>
  <si>
    <t xml:space="preserve">Better / (worse) ($)</t>
  </si>
  <si>
    <t xml:space="preserve">%</t>
  </si>
  <si>
    <t xml:space="preserve">Full-year budget ($)</t>
  </si>
  <si>
    <t xml:space="preserve">Membership fees</t>
  </si>
  <si>
    <t xml:space="preserve">Personal training</t>
  </si>
  <si>
    <t xml:space="preserve">Casual visits and passes</t>
  </si>
  <si>
    <t xml:space="preserve">Retail and supplements</t>
  </si>
  <si>
    <t xml:space="preserve">Other income</t>
  </si>
  <si>
    <t xml:space="preserve">Total income</t>
  </si>
  <si>
    <t xml:space="preserve">Rent and outgoings</t>
  </si>
  <si>
    <t xml:space="preserve">Wages</t>
  </si>
  <si>
    <t xml:space="preserve">Superannuation</t>
  </si>
  <si>
    <t xml:space="preserve">Equipment lease and repairs</t>
  </si>
  <si>
    <t xml:space="preserve">Cleaning</t>
  </si>
  <si>
    <t xml:space="preserve">Marketing</t>
  </si>
  <si>
    <t xml:space="preserve">Utilities</t>
  </si>
  <si>
    <t xml:space="preserve">Software and subscriptions</t>
  </si>
  <si>
    <t xml:space="preserve">Insurance</t>
  </si>
  <si>
    <t xml:space="preserve">Other expenses</t>
  </si>
  <si>
    <t xml:space="preserve">Total expenses</t>
  </si>
  <si>
    <t xml:space="preserve">Net profit</t>
  </si>
  <si>
    <t xml:space="preserve">Membership KPIs, year to date</t>
  </si>
  <si>
    <t xml:space="preserve">Latest members at month end</t>
  </si>
  <si>
    <t xml:space="preserve">Joins</t>
  </si>
  <si>
    <t xml:space="preserve">Cancellations</t>
  </si>
  <si>
    <t xml:space="preserve">Average monthly churn</t>
  </si>
  <si>
    <t xml:space="preserve">Marketing cost per join ($)</t>
  </si>
  <si>
    <t xml:space="preserve">Figures exclude GST. This is a management tool, not accounting or tax advice.</t>
  </si>
  <si>
    <t xml:space="preserve">Setup and assumptions</t>
  </si>
  <si>
    <t xml:space="preserve">Assumption</t>
  </si>
  <si>
    <t xml:space="preserve">Value</t>
  </si>
  <si>
    <t xml:space="preserve">Note</t>
  </si>
  <si>
    <t xml:space="preserve">Example Club North</t>
  </si>
  <si>
    <t xml:space="preserve">Use one copy of this file for each club.</t>
  </si>
  <si>
    <t xml:space="preserve">Financial year starts</t>
  </si>
  <si>
    <t xml:space="preserve">First day of month 1. Australian businesses usually start on 1 July.</t>
  </si>
  <si>
    <t xml:space="preserve">Members at start of year</t>
  </si>
  <si>
    <t xml:space="preserve">Active paying members on the first day of the year.</t>
  </si>
  <si>
    <t xml:space="preserve">Average membership fee per member per month ($)</t>
  </si>
  <si>
    <t xml:space="preserve">Excluding GST. Use your average after discounts.</t>
  </si>
  <si>
    <t xml:space="preserve">Budgeted net member growth per month</t>
  </si>
  <si>
    <t xml:space="preserve">Joins minus cancellations you plan for each month.</t>
  </si>
  <si>
    <t xml:space="preserve">Superannuation guarantee rate</t>
  </si>
  <si>
    <t xml:space="preserve">12% from 1 July 2025. Check the current rate with the ATO.</t>
  </si>
  <si>
    <t xml:space="preserve">Enter all amounts excluding GST. Blue cells are inputs; black cells are formulas.</t>
  </si>
  <si>
    <t xml:space="preserve">Full year</t>
  </si>
  <si>
    <t xml:space="preserve">Income</t>
  </si>
  <si>
    <t xml:space="preserve">Expenses</t>
  </si>
  <si>
    <t xml:space="preserve">Net margin</t>
  </si>
  <si>
    <t xml:space="preserve">Budgeted members at month end</t>
  </si>
  <si>
    <t xml:space="preserve">Membership fees = budgeted members x average fee (Setup). Superannuation = wages x rate. Other blue figures are your budget; type over them.</t>
  </si>
  <si>
    <t xml:space="preserve">Month has actuals (1 = yes)</t>
  </si>
  <si>
    <t xml:space="preserve">Enter each month from your profit and loss report, excluding GST. Months without figures are left out of year-to-date comparisons.</t>
  </si>
  <si>
    <t xml:space="preserve">Better / (worse) than budget: positive is good for income and expenses</t>
  </si>
  <si>
    <t xml:space="preserve">YTD budget</t>
  </si>
  <si>
    <t xml:space="preserve">YTD actual</t>
  </si>
  <si>
    <t xml:space="preserve">YTD better / (worse)</t>
  </si>
  <si>
    <t xml:space="preserve">YTD %</t>
  </si>
  <si>
    <t xml:space="preserve">Monthly KPIs</t>
  </si>
  <si>
    <t xml:space="preserve">Month</t>
  </si>
  <si>
    <t xml:space="preserve">Members at month end</t>
  </si>
  <si>
    <t xml:space="preserve">Net change</t>
  </si>
  <si>
    <t xml:space="preserve">Churn %</t>
  </si>
  <si>
    <t xml:space="preserve">Members vs budget</t>
  </si>
  <si>
    <t xml:space="preserve">Revenue per member ($)</t>
  </si>
  <si>
    <t xml:space="preserve">Notes</t>
  </si>
  <si>
    <t xml:space="preserve">Churn % = cancellations / members at the start of the month. Enter members, joins and cancellations from your membership system.</t>
  </si>
</sst>
</file>

<file path=xl/styles.xml><?xml version="1.0" encoding="utf-8"?>
<styleSheet xmlns="http://schemas.openxmlformats.org/spreadsheetml/2006/main">
  <numFmts count="10">
    <numFmt numFmtId="164" formatCode="General"/>
    <numFmt numFmtId="165" formatCode="d\ mmm\ yyyy"/>
    <numFmt numFmtId="166" formatCode="\$#,##0;&quot;($&quot;#,##0\);\-"/>
    <numFmt numFmtId="167" formatCode="0.0%;\(0.0%\);\-"/>
    <numFmt numFmtId="168" formatCode="#,##0"/>
    <numFmt numFmtId="169" formatCode="0.0%"/>
    <numFmt numFmtId="170" formatCode="\$#,##0.00"/>
    <numFmt numFmtId="171" formatCode="mmm\ yy"/>
    <numFmt numFmtId="172" formatCode="0"/>
    <numFmt numFmtId="173" formatCode="#,##0;\(#,##0\);\-"/>
  </numFmts>
  <fonts count="21">
    <font>
      <sz val="11"/>
      <color theme="1"/>
      <name val="Calibri"/>
      <family val="2"/>
      <charset val="1"/>
    </font>
    <font>
      <sz val="10"/>
      <name val="Arial"/>
      <family val="0"/>
    </font>
    <font>
      <sz val="10"/>
      <name val="Arial"/>
      <family val="0"/>
    </font>
    <font>
      <sz val="10"/>
      <name val="Arial"/>
      <family val="0"/>
    </font>
    <font>
      <b val="true"/>
      <sz val="22"/>
      <color rgb="FF19211D"/>
      <name val="Arial"/>
      <family val="0"/>
      <charset val="1"/>
    </font>
    <font>
      <b val="true"/>
      <sz val="10"/>
      <color rgb="FFB51D3A"/>
      <name val="Arial"/>
      <family val="0"/>
      <charset val="1"/>
    </font>
    <font>
      <sz val="11"/>
      <color rgb="FF19211D"/>
      <name val="Arial"/>
      <family val="0"/>
      <charset val="1"/>
    </font>
    <font>
      <b val="true"/>
      <sz val="12"/>
      <color rgb="FFB51D3A"/>
      <name val="Arial"/>
      <family val="0"/>
      <charset val="1"/>
    </font>
    <font>
      <b val="true"/>
      <sz val="10"/>
      <color rgb="FF19211D"/>
      <name val="Arial"/>
      <family val="0"/>
      <charset val="1"/>
    </font>
    <font>
      <sz val="10"/>
      <color rgb="FF19211D"/>
      <name val="Arial"/>
      <family val="0"/>
      <charset val="1"/>
    </font>
    <font>
      <b val="true"/>
      <sz val="10"/>
      <color rgb="FF0000FF"/>
      <name val="Arial"/>
      <family val="0"/>
      <charset val="1"/>
    </font>
    <font>
      <u val="single"/>
      <sz val="10"/>
      <color rgb="FFB51D3A"/>
      <name val="Arial"/>
      <family val="0"/>
      <charset val="1"/>
    </font>
    <font>
      <b val="true"/>
      <sz val="16"/>
      <color rgb="FF19211D"/>
      <name val="Arial"/>
      <family val="0"/>
      <charset val="1"/>
    </font>
    <font>
      <sz val="10"/>
      <color rgb="FF526059"/>
      <name val="Arial"/>
      <family val="0"/>
      <charset val="1"/>
    </font>
    <font>
      <b val="true"/>
      <sz val="10"/>
      <color rgb="FFFFFFFF"/>
      <name val="Arial"/>
      <family val="0"/>
      <charset val="1"/>
    </font>
    <font>
      <sz val="10"/>
      <color rgb="FF008000"/>
      <name val="Arial"/>
      <family val="0"/>
      <charset val="1"/>
    </font>
    <font>
      <b val="true"/>
      <sz val="10"/>
      <color rgb="FF008000"/>
      <name val="Arial"/>
      <family val="0"/>
      <charset val="1"/>
    </font>
    <font>
      <i val="true"/>
      <sz val="9"/>
      <color rgb="FF526059"/>
      <name val="Arial"/>
      <family val="0"/>
      <charset val="1"/>
    </font>
    <font>
      <sz val="10"/>
      <color rgb="FF0000FF"/>
      <name val="Arial"/>
      <family val="0"/>
      <charset val="1"/>
    </font>
    <font>
      <b val="true"/>
      <sz val="14"/>
      <color rgb="FF19211D"/>
      <name val="Arial"/>
      <family val="0"/>
      <charset val="1"/>
    </font>
    <font>
      <b val="true"/>
      <sz val="11"/>
      <color rgb="FFB51D3A"/>
      <name val="Arial"/>
      <family val="0"/>
      <charset val="1"/>
    </font>
  </fonts>
  <fills count="5">
    <fill>
      <patternFill patternType="none"/>
    </fill>
    <fill>
      <patternFill patternType="gray125"/>
    </fill>
    <fill>
      <patternFill patternType="solid">
        <fgColor rgb="FFF3F5F2"/>
        <bgColor rgb="FFFFFFFF"/>
      </patternFill>
    </fill>
    <fill>
      <patternFill patternType="solid">
        <fgColor rgb="FF19211D"/>
        <bgColor rgb="FF003300"/>
      </patternFill>
    </fill>
    <fill>
      <patternFill patternType="solid">
        <fgColor rgb="FF526059"/>
        <bgColor rgb="FF1E6B3A"/>
      </patternFill>
    </fill>
  </fills>
  <borders count="2">
    <border diagonalUp="false" diagonalDown="false">
      <left/>
      <right/>
      <top/>
      <bottom/>
      <diagonal/>
    </border>
    <border diagonalUp="false" diagonalDown="false">
      <left style="thin">
        <color rgb="FFCBD3CE"/>
      </left>
      <right style="thin">
        <color rgb="FFCBD3CE"/>
      </right>
      <top style="thin">
        <color rgb="FFCBD3CE"/>
      </top>
      <bottom style="thin">
        <color rgb="FFCB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4" fontId="9" fillId="0" borderId="0" xfId="0" applyFont="true" applyBorder="fals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8" fillId="2" borderId="1" xfId="0" applyFont="true" applyBorder="true" applyAlignment="true" applyProtection="true">
      <alignment horizontal="general" vertical="top" textRotation="0" wrapText="tru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general" vertical="bottom" textRotation="0" wrapText="false" indent="0" shrinkToFit="false"/>
      <protection locked="true" hidden="false"/>
    </xf>
    <xf numFmtId="164" fontId="14" fillId="3" borderId="1" xfId="0" applyFont="true" applyBorder="true" applyAlignment="true" applyProtection="true">
      <alignment horizontal="center" vertical="center" textRotation="0" wrapText="true" indent="0" shrinkToFit="false"/>
      <protection locked="true" hidden="false"/>
    </xf>
    <xf numFmtId="166" fontId="9" fillId="0" borderId="1" xfId="0" applyFont="true" applyBorder="true" applyAlignment="true" applyProtection="true">
      <alignment horizontal="general" vertical="bottom" textRotation="0" wrapText="false" indent="0" shrinkToFit="false"/>
      <protection locked="true" hidden="false"/>
    </xf>
    <xf numFmtId="166" fontId="15" fillId="0" borderId="1" xfId="0" applyFont="true" applyBorder="true" applyAlignment="true" applyProtection="true">
      <alignment horizontal="general" vertical="bottom" textRotation="0" wrapText="false" indent="0" shrinkToFit="false"/>
      <protection locked="true" hidden="false"/>
    </xf>
    <xf numFmtId="167" fontId="15" fillId="0" borderId="1" xfId="0" applyFont="true" applyBorder="tru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6" fontId="16" fillId="2" borderId="1" xfId="0" applyFont="true" applyBorder="true" applyAlignment="true" applyProtection="true">
      <alignment horizontal="general" vertical="bottom" textRotation="0" wrapText="false" indent="0" shrinkToFit="false"/>
      <protection locked="true" hidden="false"/>
    </xf>
    <xf numFmtId="167" fontId="16" fillId="2"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8" fontId="9" fillId="0" borderId="1" xfId="0" applyFont="true" applyBorder="true" applyAlignment="true" applyProtection="true">
      <alignment horizontal="general" vertical="bottom" textRotation="0" wrapText="false" indent="0" shrinkToFit="false"/>
      <protection locked="true" hidden="false"/>
    </xf>
    <xf numFmtId="169" fontId="9" fillId="0" borderId="1" xfId="0" applyFont="true" applyBorder="true" applyAlignment="true" applyProtection="true">
      <alignment horizontal="general" vertical="bottom" textRotation="0" wrapText="false" indent="0" shrinkToFit="false"/>
      <protection locked="true" hidden="false"/>
    </xf>
    <xf numFmtId="170" fontId="9" fillId="0" borderId="1" xfId="0" applyFont="true" applyBorder="tru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center" textRotation="0" wrapText="false" indent="0" shrinkToFit="false"/>
      <protection locked="true" hidden="false"/>
    </xf>
    <xf numFmtId="164" fontId="18" fillId="0" borderId="1" xfId="0" applyFont="true" applyBorder="true" applyAlignment="true" applyProtection="true">
      <alignment horizontal="general" vertical="center" textRotation="0" wrapText="false" indent="0" shrinkToFit="false"/>
      <protection locked="true" hidden="false"/>
    </xf>
    <xf numFmtId="164" fontId="17" fillId="0" borderId="1" xfId="0" applyFont="true" applyBorder="true" applyAlignment="true" applyProtection="true">
      <alignment horizontal="general" vertical="center" textRotation="0" wrapText="true" indent="0" shrinkToFit="false"/>
      <protection locked="true" hidden="false"/>
    </xf>
    <xf numFmtId="165" fontId="18" fillId="0" borderId="1" xfId="0" applyFont="true" applyBorder="true" applyAlignment="true" applyProtection="true">
      <alignment horizontal="general" vertical="center" textRotation="0" wrapText="false" indent="0" shrinkToFit="false"/>
      <protection locked="true" hidden="false"/>
    </xf>
    <xf numFmtId="168" fontId="18" fillId="0" borderId="1" xfId="0" applyFont="true" applyBorder="true" applyAlignment="true" applyProtection="true">
      <alignment horizontal="general" vertical="center" textRotation="0" wrapText="false" indent="0" shrinkToFit="false"/>
      <protection locked="true" hidden="false"/>
    </xf>
    <xf numFmtId="170" fontId="18" fillId="0" borderId="1" xfId="0" applyFont="true" applyBorder="true" applyAlignment="true" applyProtection="true">
      <alignment horizontal="general" vertical="center" textRotation="0" wrapText="false" indent="0" shrinkToFit="false"/>
      <protection locked="true" hidden="false"/>
    </xf>
    <xf numFmtId="169" fontId="18" fillId="0" borderId="1" xfId="0" applyFont="true" applyBorder="true" applyAlignment="true" applyProtection="true">
      <alignment horizontal="general" vertical="center"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71" fontId="14" fillId="3" borderId="1" xfId="0" applyFont="true" applyBorder="true" applyAlignment="true" applyProtection="true">
      <alignment horizontal="center" vertical="center" textRotation="0" wrapText="false" indent="0" shrinkToFit="false"/>
      <protection locked="true" hidden="false"/>
    </xf>
    <xf numFmtId="164" fontId="14" fillId="4" borderId="1" xfId="0" applyFont="true" applyBorder="true" applyAlignment="true" applyProtection="true">
      <alignment horizontal="center" vertical="center"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6" fontId="18" fillId="0" borderId="1" xfId="0" applyFont="true" applyBorder="true" applyAlignment="true" applyProtection="true">
      <alignment horizontal="general"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8" fontId="0" fillId="2" borderId="1" xfId="0" applyFont="false" applyBorder="true" applyAlignment="true" applyProtection="true">
      <alignment horizontal="general" vertical="bottom" textRotation="0" wrapText="false" indent="0" shrinkToFit="false"/>
      <protection locked="true" hidden="false"/>
    </xf>
    <xf numFmtId="172" fontId="0" fillId="2" borderId="1" xfId="0" applyFont="false" applyBorder="true" applyAlignment="true" applyProtection="true">
      <alignment horizontal="general" vertical="bottom" textRotation="0" wrapText="false" indent="0" shrinkToFit="false"/>
      <protection locked="true" hidden="false"/>
    </xf>
    <xf numFmtId="166" fontId="9" fillId="2" borderId="1" xfId="0" applyFont="true" applyBorder="true" applyAlignment="true" applyProtection="true">
      <alignment horizontal="general" vertical="bottom" textRotation="0" wrapText="false" indent="0" shrinkToFit="false"/>
      <protection locked="true" hidden="false"/>
    </xf>
    <xf numFmtId="167" fontId="9" fillId="2" borderId="1" xfId="0" applyFont="true" applyBorder="true" applyAlignment="true" applyProtection="true">
      <alignment horizontal="general" vertical="bottom" textRotation="0" wrapText="false" indent="0" shrinkToFit="false"/>
      <protection locked="true" hidden="false"/>
    </xf>
    <xf numFmtId="171" fontId="9" fillId="2" borderId="1" xfId="0" applyFont="true" applyBorder="true" applyAlignment="true" applyProtection="true">
      <alignment horizontal="general" vertical="center" textRotation="0" wrapText="false" indent="0" shrinkToFit="false"/>
      <protection locked="true" hidden="false"/>
    </xf>
    <xf numFmtId="173" fontId="9" fillId="2" borderId="1" xfId="0" applyFont="true" applyBorder="true" applyAlignment="true" applyProtection="true">
      <alignment horizontal="general" vertical="center" textRotation="0" wrapText="false" indent="0" shrinkToFit="false"/>
      <protection locked="true" hidden="false"/>
    </xf>
    <xf numFmtId="169" fontId="9" fillId="2" borderId="1" xfId="0" applyFont="true" applyBorder="true" applyAlignment="true" applyProtection="true">
      <alignment horizontal="general" vertical="center" textRotation="0" wrapText="false" indent="0" shrinkToFit="false"/>
      <protection locked="true" hidden="false"/>
    </xf>
    <xf numFmtId="170" fontId="9" fillId="2" borderId="1" xfId="0" applyFont="true" applyBorder="true" applyAlignment="true" applyProtection="tru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8E1630"/>
        <sz val="10"/>
      </font>
      <fill>
        <patternFill>
          <bgColor rgb="FFF4C7CF"/>
        </patternFill>
      </fill>
    </dxf>
    <dxf>
      <font>
        <name val="Arial"/>
        <charset val="1"/>
        <family val="0"/>
        <b val="1"/>
        <color rgb="FF1E6B3A"/>
        <sz val="10"/>
      </font>
      <fill>
        <patternFill>
          <bgColor rgb="FFDCEFE3"/>
        </patternFill>
      </fill>
    </dxf>
    <dxf>
      <font>
        <name val="Arial"/>
        <charset val="1"/>
        <family val="0"/>
        <b val="1"/>
        <color rgb="FF8E1630"/>
        <sz val="10"/>
      </font>
    </dxf>
  </dxfs>
  <colors>
    <indexedColors>
      <rgbColor rgb="FF000000"/>
      <rgbColor rgb="FFFFFFFF"/>
      <rgbColor rgb="FFFF0000"/>
      <rgbColor rgb="FF00FF00"/>
      <rgbColor rgb="FF0000FF"/>
      <rgbColor rgb="FFFFFF00"/>
      <rgbColor rgb="FFFF00FF"/>
      <rgbColor rgb="FF00FFFF"/>
      <rgbColor rgb="FF8E1630"/>
      <rgbColor rgb="FF008000"/>
      <rgbColor rgb="FF000080"/>
      <rgbColor rgb="FF808000"/>
      <rgbColor rgb="FF800080"/>
      <rgbColor rgb="FF1E6B3A"/>
      <rgbColor rgb="FFCBD3CE"/>
      <rgbColor rgb="FF808080"/>
      <rgbColor rgb="FF9999FF"/>
      <rgbColor rgb="FFB51D3A"/>
      <rgbColor rgb="FFF3F5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3"/>
      <rgbColor rgb="FFFFFF99"/>
      <rgbColor rgb="FF99CCFF"/>
      <rgbColor rgb="FFFF99CC"/>
      <rgbColor rgb="FFCC99FF"/>
      <rgbColor rgb="FFF4C7CF"/>
      <rgbColor rgb="FF3366FF"/>
      <rgbColor rgb="FF33CCCC"/>
      <rgbColor rgb="FF99CC00"/>
      <rgbColor rgb="FFFFCC00"/>
      <rgbColor rgb="FFFF9900"/>
      <rgbColor rgb="FFFF6600"/>
      <rgbColor rgb="FF526059"/>
      <rgbColor rgb="FF969696"/>
      <rgbColor rgb="FF003366"/>
      <rgbColor rgb="FF339966"/>
      <rgbColor rgb="FF003300"/>
      <rgbColor rgb="FF333300"/>
      <rgbColor rgb="FF993300"/>
      <rgbColor rgb="FF993366"/>
      <rgbColor rgb="FF333399"/>
      <rgbColor rgb="FF19211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1618560</xdr:colOff>
      <xdr:row>3</xdr:row>
      <xdr:rowOff>113400</xdr:rowOff>
    </xdr:to>
    <xdr:pic>
      <xdr:nvPicPr>
        <xdr:cNvPr id="0" name="Image 1" descr="Picture"/>
        <xdr:cNvPicPr/>
      </xdr:nvPicPr>
      <xdr:blipFill>
        <a:blip r:embed="rId1"/>
        <a:stretch/>
      </xdr:blipFill>
      <xdr:spPr>
        <a:xfrm>
          <a:off x="211320" y="190440"/>
          <a:ext cx="1618560" cy="4946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lubpilot.au/resources/gym-budget-template" TargetMode="External"/><Relationship Id="rId2" Type="http://schemas.openxmlformats.org/officeDocument/2006/relationships/hyperlink" Target="https://clubpilot.au/app/start-trial?source=resources/gym-budget-template"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B6:C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6"/>
  </cols>
  <sheetData>
    <row r="6" customFormat="false" ht="26.8" hidden="false" customHeight="false" outlineLevel="0" collapsed="false">
      <c r="B6" s="2" t="s">
        <v>0</v>
      </c>
    </row>
    <row r="7" customFormat="false" ht="15" hidden="false" customHeight="false" outlineLevel="0" collapsed="false">
      <c r="B7" s="3" t="s">
        <v>1</v>
      </c>
    </row>
    <row r="9" customFormat="false" ht="24" hidden="false" customHeight="true" outlineLevel="0" collapsed="false">
      <c r="B9" s="4" t="s">
        <v>2</v>
      </c>
      <c r="C9" s="4"/>
    </row>
    <row r="10" customFormat="false" ht="15" hidden="false" customHeight="false" outlineLevel="0" collapsed="false">
      <c r="B10" s="4"/>
      <c r="C10" s="4"/>
    </row>
    <row r="12" customFormat="false" ht="15" hidden="false" customHeight="false" outlineLevel="0" collapsed="false">
      <c r="B12" s="5" t="s">
        <v>3</v>
      </c>
    </row>
    <row r="13" customFormat="false" ht="15" hidden="false" customHeight="true" outlineLevel="0" collapsed="false">
      <c r="B13" s="6" t="s">
        <v>4</v>
      </c>
      <c r="C13" s="7" t="s">
        <v>5</v>
      </c>
    </row>
    <row r="14" customFormat="false" ht="30" hidden="false" customHeight="true" outlineLevel="0" collapsed="false">
      <c r="B14" s="6" t="s">
        <v>6</v>
      </c>
      <c r="C14" s="7" t="s">
        <v>7</v>
      </c>
    </row>
    <row r="15" customFormat="false" ht="30" hidden="false" customHeight="true" outlineLevel="0" collapsed="false">
      <c r="B15" s="6" t="s">
        <v>8</v>
      </c>
      <c r="C15" s="7" t="s">
        <v>9</v>
      </c>
    </row>
    <row r="16" customFormat="false" ht="15" hidden="false" customHeight="true" outlineLevel="0" collapsed="false">
      <c r="B16" s="6" t="s">
        <v>10</v>
      </c>
      <c r="C16" s="7" t="s">
        <v>11</v>
      </c>
    </row>
    <row r="17" customFormat="false" ht="30" hidden="false" customHeight="true" outlineLevel="0" collapsed="false">
      <c r="B17" s="6" t="s">
        <v>12</v>
      </c>
      <c r="C17" s="7" t="s">
        <v>13</v>
      </c>
    </row>
    <row r="18" customFormat="false" ht="30" hidden="false" customHeight="true" outlineLevel="0" collapsed="false">
      <c r="B18" s="6" t="s">
        <v>14</v>
      </c>
      <c r="C18" s="7" t="s">
        <v>15</v>
      </c>
    </row>
    <row r="20" customFormat="false" ht="15" hidden="false" customHeight="false" outlineLevel="0" collapsed="false">
      <c r="B20" s="5" t="s">
        <v>16</v>
      </c>
    </row>
    <row r="21" customFormat="false" ht="15" hidden="false" customHeight="true" outlineLevel="0" collapsed="false">
      <c r="B21" s="6" t="s">
        <v>17</v>
      </c>
      <c r="C21" s="7" t="s">
        <v>18</v>
      </c>
    </row>
    <row r="22" customFormat="false" ht="15" hidden="false" customHeight="true" outlineLevel="0" collapsed="false">
      <c r="B22" s="6" t="s">
        <v>19</v>
      </c>
      <c r="C22" s="7" t="s">
        <v>20</v>
      </c>
    </row>
    <row r="23" customFormat="false" ht="15" hidden="false" customHeight="true" outlineLevel="0" collapsed="false">
      <c r="B23" s="6" t="s">
        <v>21</v>
      </c>
      <c r="C23" s="7" t="s">
        <v>22</v>
      </c>
    </row>
    <row r="24" customFormat="false" ht="30" hidden="false" customHeight="true" outlineLevel="0" collapsed="false">
      <c r="B24" s="6" t="s">
        <v>23</v>
      </c>
      <c r="C24" s="7" t="s">
        <v>24</v>
      </c>
    </row>
    <row r="26" customFormat="false" ht="15" hidden="false" customHeight="false" outlineLevel="0" collapsed="false">
      <c r="B26" s="5" t="s">
        <v>25</v>
      </c>
    </row>
    <row r="27" customFormat="false" ht="15" hidden="false" customHeight="true" outlineLevel="0" collapsed="false">
      <c r="B27" s="8" t="s">
        <v>26</v>
      </c>
      <c r="C27" s="7" t="s">
        <v>27</v>
      </c>
    </row>
    <row r="28" customFormat="false" ht="15" hidden="false" customHeight="true" outlineLevel="0" collapsed="false">
      <c r="B28" s="9" t="s">
        <v>28</v>
      </c>
      <c r="C28" s="7" t="s">
        <v>29</v>
      </c>
    </row>
    <row r="29" customFormat="false" ht="15" hidden="false" customHeight="true" outlineLevel="0" collapsed="false">
      <c r="B29" s="10" t="s">
        <v>30</v>
      </c>
      <c r="C29" s="7" t="s">
        <v>31</v>
      </c>
    </row>
    <row r="31" customFormat="false" ht="30" hidden="false" customHeight="true" outlineLevel="0" collapsed="false">
      <c r="B31" s="6" t="s">
        <v>32</v>
      </c>
      <c r="C31" s="7" t="s">
        <v>33</v>
      </c>
    </row>
    <row r="32" customFormat="false" ht="30" hidden="false" customHeight="true" outlineLevel="0" collapsed="false">
      <c r="B32" s="6" t="s">
        <v>34</v>
      </c>
      <c r="C32" s="7" t="s">
        <v>35</v>
      </c>
    </row>
    <row r="33" customFormat="false" ht="15" hidden="false" customHeight="true" outlineLevel="0" collapsed="false">
      <c r="B33" s="6" t="s">
        <v>36</v>
      </c>
      <c r="C33" s="11" t="s">
        <v>37</v>
      </c>
    </row>
  </sheetData>
  <mergeCells count="1">
    <mergeCell ref="B9:C10"/>
  </mergeCells>
  <hyperlinks>
    <hyperlink ref="B7" r:id="rId1" display="Free template from ClubPilot: clubpilot.au/resources"/>
    <hyperlink ref="C33" r:id="rId2" display="Start a 30-day free trial at clubpilot.au. No card required."/>
  </hyperlinks>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budget and kpi tracker | clubpilot.au/resources&amp;RPage &amp;P of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A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3" min="2" style="1" width="16"/>
    <col collapsed="false" customWidth="true" hidden="false" outlineLevel="0" max="4" min="4" style="1" width="18"/>
    <col collapsed="false" customWidth="true" hidden="false" outlineLevel="0" max="5" min="5" style="1" width="12"/>
    <col collapsed="false" customWidth="true" hidden="false" outlineLevel="0" max="6" min="6" style="1" width="16"/>
  </cols>
  <sheetData>
    <row r="1" customFormat="false" ht="19.7" hidden="false" customHeight="false" outlineLevel="0" collapsed="false">
      <c r="A1" s="12" t="s">
        <v>38</v>
      </c>
    </row>
    <row r="2" customFormat="false" ht="15" hidden="false" customHeight="false" outlineLevel="0" collapsed="false">
      <c r="A2" s="13" t="s">
        <v>39</v>
      </c>
      <c r="B2" s="14" t="str">
        <f aca="false">Setup!$B$4</f>
        <v>Example Club North</v>
      </c>
    </row>
    <row r="3" customFormat="false" ht="15" hidden="false" customHeight="false" outlineLevel="0" collapsed="false">
      <c r="A3" s="13" t="s">
        <v>40</v>
      </c>
      <c r="B3" s="14" t="n">
        <f aca="false">SUM(Actuals!B27:M27)</f>
        <v>4</v>
      </c>
    </row>
    <row r="4" customFormat="false" ht="15" hidden="false" customHeight="false" outlineLevel="0" collapsed="false">
      <c r="A4" s="13" t="s">
        <v>41</v>
      </c>
      <c r="B4" s="15" t="n">
        <f aca="false">IF(B3=0,"No actuals yet",EDATE(Setup!B5,B3)-1)</f>
        <v>46326</v>
      </c>
    </row>
    <row r="6" customFormat="false" ht="30" hidden="false" customHeight="true" outlineLevel="0" collapsed="false">
      <c r="A6" s="16" t="s">
        <v>42</v>
      </c>
      <c r="B6" s="16" t="s">
        <v>43</v>
      </c>
      <c r="C6" s="16" t="s">
        <v>44</v>
      </c>
      <c r="D6" s="16" t="s">
        <v>45</v>
      </c>
      <c r="E6" s="16" t="s">
        <v>46</v>
      </c>
      <c r="F6" s="16" t="s">
        <v>47</v>
      </c>
    </row>
    <row r="7" customFormat="false" ht="15" hidden="false" customHeight="false" outlineLevel="0" collapsed="false">
      <c r="A7" s="17" t="s">
        <v>48</v>
      </c>
      <c r="B7" s="18" t="n">
        <f aca="false">Variance!N4</f>
        <v>185840</v>
      </c>
      <c r="C7" s="18" t="n">
        <f aca="false">Variance!O4</f>
        <v>182000</v>
      </c>
      <c r="D7" s="18" t="n">
        <f aca="false">Variance!P4</f>
        <v>-3840</v>
      </c>
      <c r="E7" s="19" t="n">
        <f aca="false">Variance!Q4</f>
        <v>-0.0206629358588033</v>
      </c>
      <c r="F7" s="18" t="n">
        <f aca="false">Budget!N4</f>
        <v>584016</v>
      </c>
    </row>
    <row r="8" customFormat="false" ht="15" hidden="false" customHeight="false" outlineLevel="0" collapsed="false">
      <c r="A8" s="17" t="s">
        <v>49</v>
      </c>
      <c r="B8" s="18" t="n">
        <f aca="false">Variance!N5</f>
        <v>26000</v>
      </c>
      <c r="C8" s="18" t="n">
        <f aca="false">Variance!O5</f>
        <v>26600</v>
      </c>
      <c r="D8" s="18" t="n">
        <f aca="false">Variance!P5</f>
        <v>600</v>
      </c>
      <c r="E8" s="19" t="n">
        <f aca="false">Variance!Q5</f>
        <v>0.0230769230769231</v>
      </c>
      <c r="F8" s="18" t="n">
        <f aca="false">Budget!N5</f>
        <v>78000</v>
      </c>
    </row>
    <row r="9" customFormat="false" ht="15" hidden="false" customHeight="false" outlineLevel="0" collapsed="false">
      <c r="A9" s="17" t="s">
        <v>50</v>
      </c>
      <c r="B9" s="18" t="n">
        <f aca="false">Variance!N6</f>
        <v>7200</v>
      </c>
      <c r="C9" s="18" t="n">
        <f aca="false">Variance!O6</f>
        <v>7450</v>
      </c>
      <c r="D9" s="18" t="n">
        <f aca="false">Variance!P6</f>
        <v>250</v>
      </c>
      <c r="E9" s="19" t="n">
        <f aca="false">Variance!Q6</f>
        <v>0.0347222222222222</v>
      </c>
      <c r="F9" s="18" t="n">
        <f aca="false">Budget!N6</f>
        <v>21600</v>
      </c>
    </row>
    <row r="10" customFormat="false" ht="15" hidden="false" customHeight="false" outlineLevel="0" collapsed="false">
      <c r="A10" s="17" t="s">
        <v>51</v>
      </c>
      <c r="B10" s="18" t="n">
        <f aca="false">Variance!N7</f>
        <v>4800</v>
      </c>
      <c r="C10" s="18" t="n">
        <f aca="false">Variance!O7</f>
        <v>4680</v>
      </c>
      <c r="D10" s="18" t="n">
        <f aca="false">Variance!P7</f>
        <v>-120</v>
      </c>
      <c r="E10" s="19" t="n">
        <f aca="false">Variance!Q7</f>
        <v>-0.025</v>
      </c>
      <c r="F10" s="18" t="n">
        <f aca="false">Budget!N7</f>
        <v>14400</v>
      </c>
    </row>
    <row r="11" customFormat="false" ht="15" hidden="false" customHeight="false" outlineLevel="0" collapsed="false">
      <c r="A11" s="17" t="s">
        <v>52</v>
      </c>
      <c r="B11" s="18" t="n">
        <f aca="false">Variance!N8</f>
        <v>1200</v>
      </c>
      <c r="C11" s="18" t="n">
        <f aca="false">Variance!O8</f>
        <v>970</v>
      </c>
      <c r="D11" s="18" t="n">
        <f aca="false">Variance!P8</f>
        <v>-230</v>
      </c>
      <c r="E11" s="19" t="n">
        <f aca="false">Variance!Q8</f>
        <v>-0.191666666666667</v>
      </c>
      <c r="F11" s="18" t="n">
        <f aca="false">Budget!N8</f>
        <v>3600</v>
      </c>
    </row>
    <row r="12" customFormat="false" ht="15" hidden="false" customHeight="false" outlineLevel="0" collapsed="false">
      <c r="A12" s="20" t="s">
        <v>53</v>
      </c>
      <c r="B12" s="21" t="n">
        <f aca="false">Variance!N9</f>
        <v>225040</v>
      </c>
      <c r="C12" s="21" t="n">
        <f aca="false">Variance!O9</f>
        <v>221700</v>
      </c>
      <c r="D12" s="21" t="n">
        <f aca="false">Variance!P9</f>
        <v>-3340</v>
      </c>
      <c r="E12" s="22" t="n">
        <f aca="false">Variance!Q9</f>
        <v>-0.0148418059011731</v>
      </c>
      <c r="F12" s="21" t="n">
        <f aca="false">Budget!N9</f>
        <v>701616</v>
      </c>
    </row>
    <row r="13" customFormat="false" ht="15" hidden="false" customHeight="false" outlineLevel="0" collapsed="false">
      <c r="A13" s="17" t="s">
        <v>54</v>
      </c>
      <c r="B13" s="18" t="n">
        <f aca="false">Variance!N12</f>
        <v>56000</v>
      </c>
      <c r="C13" s="18" t="n">
        <f aca="false">Variance!O12</f>
        <v>56000</v>
      </c>
      <c r="D13" s="18" t="n">
        <f aca="false">Variance!P12</f>
        <v>0</v>
      </c>
      <c r="E13" s="19" t="n">
        <f aca="false">Variance!Q12</f>
        <v>0</v>
      </c>
      <c r="F13" s="18" t="n">
        <f aca="false">Budget!N12</f>
        <v>168000</v>
      </c>
    </row>
    <row r="14" customFormat="false" ht="15" hidden="false" customHeight="false" outlineLevel="0" collapsed="false">
      <c r="A14" s="17" t="s">
        <v>55</v>
      </c>
      <c r="B14" s="18" t="n">
        <f aca="false">Variance!N13</f>
        <v>84000</v>
      </c>
      <c r="C14" s="18" t="n">
        <f aca="false">Variance!O13</f>
        <v>86400</v>
      </c>
      <c r="D14" s="18" t="n">
        <f aca="false">Variance!P13</f>
        <v>-2400</v>
      </c>
      <c r="E14" s="19" t="n">
        <f aca="false">Variance!Q13</f>
        <v>-0.0285714285714286</v>
      </c>
      <c r="F14" s="18" t="n">
        <f aca="false">Budget!N13</f>
        <v>252000</v>
      </c>
    </row>
    <row r="15" customFormat="false" ht="15" hidden="false" customHeight="false" outlineLevel="0" collapsed="false">
      <c r="A15" s="17" t="s">
        <v>56</v>
      </c>
      <c r="B15" s="18" t="n">
        <f aca="false">Variance!N14</f>
        <v>10080</v>
      </c>
      <c r="C15" s="18" t="n">
        <f aca="false">Variance!O14</f>
        <v>10368</v>
      </c>
      <c r="D15" s="18" t="n">
        <f aca="false">Variance!P14</f>
        <v>-288</v>
      </c>
      <c r="E15" s="19" t="n">
        <f aca="false">Variance!Q14</f>
        <v>-0.0285714285714286</v>
      </c>
      <c r="F15" s="18" t="n">
        <f aca="false">Budget!N14</f>
        <v>30240</v>
      </c>
    </row>
    <row r="16" customFormat="false" ht="15" hidden="false" customHeight="false" outlineLevel="0" collapsed="false">
      <c r="A16" s="17" t="s">
        <v>57</v>
      </c>
      <c r="B16" s="18" t="n">
        <f aca="false">Variance!N15</f>
        <v>15200</v>
      </c>
      <c r="C16" s="18" t="n">
        <f aca="false">Variance!O15</f>
        <v>17170</v>
      </c>
      <c r="D16" s="18" t="n">
        <f aca="false">Variance!P15</f>
        <v>-1970</v>
      </c>
      <c r="E16" s="19" t="n">
        <f aca="false">Variance!Q15</f>
        <v>-0.129605263157895</v>
      </c>
      <c r="F16" s="18" t="n">
        <f aca="false">Budget!N15</f>
        <v>45600</v>
      </c>
    </row>
    <row r="17" customFormat="false" ht="15" hidden="false" customHeight="false" outlineLevel="0" collapsed="false">
      <c r="A17" s="17" t="s">
        <v>58</v>
      </c>
      <c r="B17" s="18" t="n">
        <f aca="false">Variance!N16</f>
        <v>8800</v>
      </c>
      <c r="C17" s="18" t="n">
        <f aca="false">Variance!O16</f>
        <v>8950</v>
      </c>
      <c r="D17" s="18" t="n">
        <f aca="false">Variance!P16</f>
        <v>-150</v>
      </c>
      <c r="E17" s="19" t="n">
        <f aca="false">Variance!Q16</f>
        <v>-0.0170454545454545</v>
      </c>
      <c r="F17" s="18" t="n">
        <f aca="false">Budget!N16</f>
        <v>26400</v>
      </c>
    </row>
    <row r="18" customFormat="false" ht="15" hidden="false" customHeight="false" outlineLevel="0" collapsed="false">
      <c r="A18" s="17" t="s">
        <v>59</v>
      </c>
      <c r="B18" s="18" t="n">
        <f aca="false">Variance!N17</f>
        <v>10000</v>
      </c>
      <c r="C18" s="18" t="n">
        <f aca="false">Variance!O17</f>
        <v>10350</v>
      </c>
      <c r="D18" s="18" t="n">
        <f aca="false">Variance!P17</f>
        <v>-350</v>
      </c>
      <c r="E18" s="19" t="n">
        <f aca="false">Variance!Q17</f>
        <v>-0.035</v>
      </c>
      <c r="F18" s="18" t="n">
        <f aca="false">Budget!N17</f>
        <v>30000</v>
      </c>
    </row>
    <row r="19" customFormat="false" ht="15" hidden="false" customHeight="false" outlineLevel="0" collapsed="false">
      <c r="A19" s="17" t="s">
        <v>60</v>
      </c>
      <c r="B19" s="18" t="n">
        <f aca="false">Variance!N18</f>
        <v>12400</v>
      </c>
      <c r="C19" s="18" t="n">
        <f aca="false">Variance!O18</f>
        <v>12500</v>
      </c>
      <c r="D19" s="18" t="n">
        <f aca="false">Variance!P18</f>
        <v>-100</v>
      </c>
      <c r="E19" s="19" t="n">
        <f aca="false">Variance!Q18</f>
        <v>-0.00806451612903226</v>
      </c>
      <c r="F19" s="18" t="n">
        <f aca="false">Budget!N18</f>
        <v>37200</v>
      </c>
    </row>
    <row r="20" customFormat="false" ht="15" hidden="false" customHeight="false" outlineLevel="0" collapsed="false">
      <c r="A20" s="17" t="s">
        <v>61</v>
      </c>
      <c r="B20" s="18" t="n">
        <f aca="false">Variance!N19</f>
        <v>3600</v>
      </c>
      <c r="C20" s="18" t="n">
        <f aca="false">Variance!O19</f>
        <v>3660</v>
      </c>
      <c r="D20" s="18" t="n">
        <f aca="false">Variance!P19</f>
        <v>-60</v>
      </c>
      <c r="E20" s="19" t="n">
        <f aca="false">Variance!Q19</f>
        <v>-0.0166666666666667</v>
      </c>
      <c r="F20" s="18" t="n">
        <f aca="false">Budget!N19</f>
        <v>10800</v>
      </c>
    </row>
    <row r="21" customFormat="false" ht="15" hidden="false" customHeight="false" outlineLevel="0" collapsed="false">
      <c r="A21" s="17" t="s">
        <v>62</v>
      </c>
      <c r="B21" s="18" t="n">
        <f aca="false">Variance!N20</f>
        <v>2800</v>
      </c>
      <c r="C21" s="18" t="n">
        <f aca="false">Variance!O20</f>
        <v>2800</v>
      </c>
      <c r="D21" s="18" t="n">
        <f aca="false">Variance!P20</f>
        <v>0</v>
      </c>
      <c r="E21" s="19" t="n">
        <f aca="false">Variance!Q20</f>
        <v>0</v>
      </c>
      <c r="F21" s="18" t="n">
        <f aca="false">Budget!N20</f>
        <v>8400</v>
      </c>
    </row>
    <row r="22" customFormat="false" ht="15" hidden="false" customHeight="false" outlineLevel="0" collapsed="false">
      <c r="A22" s="17" t="s">
        <v>63</v>
      </c>
      <c r="B22" s="18" t="n">
        <f aca="false">Variance!N21</f>
        <v>3200</v>
      </c>
      <c r="C22" s="18" t="n">
        <f aca="false">Variance!O21</f>
        <v>2830</v>
      </c>
      <c r="D22" s="18" t="n">
        <f aca="false">Variance!P21</f>
        <v>370</v>
      </c>
      <c r="E22" s="19" t="n">
        <f aca="false">Variance!Q21</f>
        <v>0.115625</v>
      </c>
      <c r="F22" s="18" t="n">
        <f aca="false">Budget!N21</f>
        <v>9600</v>
      </c>
    </row>
    <row r="23" customFormat="false" ht="15" hidden="false" customHeight="false" outlineLevel="0" collapsed="false">
      <c r="A23" s="20" t="s">
        <v>64</v>
      </c>
      <c r="B23" s="21" t="n">
        <f aca="false">Variance!N22</f>
        <v>206080</v>
      </c>
      <c r="C23" s="21" t="n">
        <f aca="false">Variance!O22</f>
        <v>211028</v>
      </c>
      <c r="D23" s="21" t="n">
        <f aca="false">Variance!P22</f>
        <v>-4948</v>
      </c>
      <c r="E23" s="22" t="n">
        <f aca="false">Variance!Q22</f>
        <v>-0.0240100931677019</v>
      </c>
      <c r="F23" s="21" t="n">
        <f aca="false">Budget!N22</f>
        <v>618240</v>
      </c>
    </row>
    <row r="24" customFormat="false" ht="15" hidden="false" customHeight="false" outlineLevel="0" collapsed="false">
      <c r="A24" s="20" t="s">
        <v>65</v>
      </c>
      <c r="B24" s="21" t="n">
        <f aca="false">Variance!N24</f>
        <v>18960</v>
      </c>
      <c r="C24" s="21" t="n">
        <f aca="false">Variance!O24</f>
        <v>10672</v>
      </c>
      <c r="D24" s="21" t="n">
        <f aca="false">Variance!P24</f>
        <v>-8288</v>
      </c>
      <c r="E24" s="22" t="n">
        <f aca="false">Variance!Q24</f>
        <v>-0.437130801687764</v>
      </c>
      <c r="F24" s="21" t="n">
        <f aca="false">Budget!N24</f>
        <v>83376</v>
      </c>
    </row>
    <row r="26" customFormat="false" ht="15" hidden="false" customHeight="false" outlineLevel="0" collapsed="false">
      <c r="A26" s="5" t="s">
        <v>66</v>
      </c>
    </row>
    <row r="27" customFormat="false" ht="15" hidden="false" customHeight="false" outlineLevel="0" collapsed="false">
      <c r="A27" s="23" t="s">
        <v>67</v>
      </c>
      <c r="B27" s="24" t="n">
        <f aca="false">IFERROR(LOOKUP(2,1/(KPIs!B3:B14&lt;&gt;""),KPIs!B3:B14),"")</f>
        <v>1050</v>
      </c>
    </row>
    <row r="28" customFormat="false" ht="15" hidden="false" customHeight="false" outlineLevel="0" collapsed="false">
      <c r="A28" s="23" t="s">
        <v>68</v>
      </c>
      <c r="B28" s="24" t="n">
        <f aca="false">SUM(KPIs!C3:C14)</f>
        <v>237</v>
      </c>
    </row>
    <row r="29" customFormat="false" ht="15" hidden="false" customHeight="false" outlineLevel="0" collapsed="false">
      <c r="A29" s="23" t="s">
        <v>69</v>
      </c>
      <c r="B29" s="24" t="n">
        <f aca="false">SUM(KPIs!D3:D14)</f>
        <v>167</v>
      </c>
    </row>
    <row r="30" customFormat="false" ht="15" hidden="false" customHeight="false" outlineLevel="0" collapsed="false">
      <c r="A30" s="23" t="s">
        <v>70</v>
      </c>
      <c r="B30" s="25" t="n">
        <f aca="false">IFERROR(AVERAGE(KPIs!F3:F14),"")</f>
        <v>0.0413000264975812</v>
      </c>
    </row>
    <row r="31" customFormat="false" ht="15" hidden="false" customHeight="false" outlineLevel="0" collapsed="false">
      <c r="A31" s="23" t="s">
        <v>71</v>
      </c>
      <c r="B31" s="26" t="n">
        <f aca="false">IF(B28=0,"",SUMPRODUCT(Actuals!B17:M17,Actuals!B27:M27)/B28)</f>
        <v>43.6708860759494</v>
      </c>
    </row>
    <row r="33" customFormat="false" ht="15" hidden="false" customHeight="false" outlineLevel="0" collapsed="false">
      <c r="A33" s="27" t="s">
        <v>72</v>
      </c>
    </row>
  </sheetData>
  <conditionalFormatting sqref="D7:E24">
    <cfRule type="expression" priority="2" aboveAverage="0" equalAverage="0" bottom="0" percent="0" rank="0" text="" dxfId="0">
      <formula>AND(ISNUMBER(D7),D7&lt;0)</formula>
    </cfRule>
    <cfRule type="expression" priority="3" aboveAverage="0" equalAverage="0" bottom="0" percent="0" rank="0" text="" dxfId="1">
      <formula>AND(ISNUMBER(D7),D7&gt;0)</formula>
    </cfRule>
  </conditionalFormatting>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budget and KPI tracker | clubpilot.au/resources&amp;RPage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18"/>
    <col collapsed="false" customWidth="true" hidden="false" outlineLevel="0" max="3" min="3" style="1" width="60"/>
  </cols>
  <sheetData>
    <row r="1" customFormat="false" ht="19.7" hidden="false" customHeight="false" outlineLevel="0" collapsed="false">
      <c r="A1" s="12" t="s">
        <v>73</v>
      </c>
    </row>
    <row r="3" customFormat="false" ht="21.75" hidden="false" customHeight="true" outlineLevel="0" collapsed="false">
      <c r="A3" s="16" t="s">
        <v>74</v>
      </c>
      <c r="B3" s="16" t="s">
        <v>75</v>
      </c>
      <c r="C3" s="16" t="s">
        <v>76</v>
      </c>
    </row>
    <row r="4" customFormat="false" ht="27.75" hidden="false" customHeight="true" outlineLevel="0" collapsed="false">
      <c r="A4" s="28" t="s">
        <v>39</v>
      </c>
      <c r="B4" s="29" t="s">
        <v>77</v>
      </c>
      <c r="C4" s="30" t="s">
        <v>78</v>
      </c>
    </row>
    <row r="5" customFormat="false" ht="27.75" hidden="false" customHeight="true" outlineLevel="0" collapsed="false">
      <c r="A5" s="28" t="s">
        <v>79</v>
      </c>
      <c r="B5" s="31" t="n">
        <v>46204</v>
      </c>
      <c r="C5" s="30" t="s">
        <v>80</v>
      </c>
    </row>
    <row r="6" customFormat="false" ht="27.75" hidden="false" customHeight="true" outlineLevel="0" collapsed="false">
      <c r="A6" s="28" t="s">
        <v>81</v>
      </c>
      <c r="B6" s="32" t="n">
        <v>980</v>
      </c>
      <c r="C6" s="30" t="s">
        <v>82</v>
      </c>
    </row>
    <row r="7" customFormat="false" ht="27.75" hidden="false" customHeight="true" outlineLevel="0" collapsed="false">
      <c r="A7" s="28" t="s">
        <v>83</v>
      </c>
      <c r="B7" s="33" t="n">
        <v>46</v>
      </c>
      <c r="C7" s="30" t="s">
        <v>84</v>
      </c>
    </row>
    <row r="8" customFormat="false" ht="27.75" hidden="false" customHeight="true" outlineLevel="0" collapsed="false">
      <c r="A8" s="28" t="s">
        <v>85</v>
      </c>
      <c r="B8" s="32" t="n">
        <v>12</v>
      </c>
      <c r="C8" s="30" t="s">
        <v>86</v>
      </c>
    </row>
    <row r="9" customFormat="false" ht="27.75" hidden="false" customHeight="true" outlineLevel="0" collapsed="false">
      <c r="A9" s="28" t="s">
        <v>87</v>
      </c>
      <c r="B9" s="34" t="n">
        <v>0.12</v>
      </c>
      <c r="C9" s="30" t="s">
        <v>88</v>
      </c>
    </row>
    <row r="11" customFormat="false" ht="15" hidden="false" customHeight="false" outlineLevel="0" collapsed="false">
      <c r="A11" s="27" t="s">
        <v>89</v>
      </c>
    </row>
  </sheetData>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budget and KPI tracker | clubpilot.au/resources&amp;RPage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N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3" min="2" style="1" width="11"/>
    <col collapsed="false" customWidth="true" hidden="false" outlineLevel="0" max="14" min="14" style="1" width="13"/>
  </cols>
  <sheetData>
    <row r="1" customFormat="false" ht="17.35" hidden="false" customHeight="false" outlineLevel="0" collapsed="false">
      <c r="A1" s="35" t="s">
        <v>8</v>
      </c>
    </row>
    <row r="2" customFormat="false" ht="24" hidden="false" customHeight="true" outlineLevel="0" collapsed="false">
      <c r="A2" s="16" t="s">
        <v>42</v>
      </c>
      <c r="B2" s="36" t="n">
        <f aca="false">EDATE(Setup!$B$5,0)</f>
        <v>46204</v>
      </c>
      <c r="C2" s="36" t="n">
        <f aca="false">EDATE(Setup!$B$5,1)</f>
        <v>46235</v>
      </c>
      <c r="D2" s="36" t="n">
        <f aca="false">EDATE(Setup!$B$5,2)</f>
        <v>46266</v>
      </c>
      <c r="E2" s="36" t="n">
        <f aca="false">EDATE(Setup!$B$5,3)</f>
        <v>46296</v>
      </c>
      <c r="F2" s="36" t="n">
        <f aca="false">EDATE(Setup!$B$5,4)</f>
        <v>46327</v>
      </c>
      <c r="G2" s="36" t="n">
        <f aca="false">EDATE(Setup!$B$5,5)</f>
        <v>46357</v>
      </c>
      <c r="H2" s="36" t="n">
        <f aca="false">EDATE(Setup!$B$5,6)</f>
        <v>46388</v>
      </c>
      <c r="I2" s="36" t="n">
        <f aca="false">EDATE(Setup!$B$5,7)</f>
        <v>46419</v>
      </c>
      <c r="J2" s="36" t="n">
        <f aca="false">EDATE(Setup!$B$5,8)</f>
        <v>46447</v>
      </c>
      <c r="K2" s="36" t="n">
        <f aca="false">EDATE(Setup!$B$5,9)</f>
        <v>46478</v>
      </c>
      <c r="L2" s="36" t="n">
        <f aca="false">EDATE(Setup!$B$5,10)</f>
        <v>46508</v>
      </c>
      <c r="M2" s="36" t="n">
        <f aca="false">EDATE(Setup!$B$5,11)</f>
        <v>46539</v>
      </c>
      <c r="N2" s="37" t="s">
        <v>90</v>
      </c>
    </row>
    <row r="3" customFormat="false" ht="15" hidden="false" customHeight="false" outlineLevel="0" collapsed="false">
      <c r="A3" s="38" t="s">
        <v>91</v>
      </c>
    </row>
    <row r="4" customFormat="false" ht="15" hidden="false" customHeight="false" outlineLevel="0" collapsed="false">
      <c r="A4" s="39" t="s">
        <v>48</v>
      </c>
      <c r="B4" s="17" t="n">
        <f aca="false">B$27*Setup!$B$7</f>
        <v>45632</v>
      </c>
      <c r="C4" s="17" t="n">
        <f aca="false">C$27*Setup!$B$7</f>
        <v>46184</v>
      </c>
      <c r="D4" s="17" t="n">
        <f aca="false">D$27*Setup!$B$7</f>
        <v>46736</v>
      </c>
      <c r="E4" s="17" t="n">
        <f aca="false">E$27*Setup!$B$7</f>
        <v>47288</v>
      </c>
      <c r="F4" s="17" t="n">
        <f aca="false">F$27*Setup!$B$7</f>
        <v>47840</v>
      </c>
      <c r="G4" s="17" t="n">
        <f aca="false">G$27*Setup!$B$7</f>
        <v>48392</v>
      </c>
      <c r="H4" s="17" t="n">
        <f aca="false">H$27*Setup!$B$7</f>
        <v>48944</v>
      </c>
      <c r="I4" s="17" t="n">
        <f aca="false">I$27*Setup!$B$7</f>
        <v>49496</v>
      </c>
      <c r="J4" s="17" t="n">
        <f aca="false">J$27*Setup!$B$7</f>
        <v>50048</v>
      </c>
      <c r="K4" s="17" t="n">
        <f aca="false">K$27*Setup!$B$7</f>
        <v>50600</v>
      </c>
      <c r="L4" s="17" t="n">
        <f aca="false">L$27*Setup!$B$7</f>
        <v>51152</v>
      </c>
      <c r="M4" s="17" t="n">
        <f aca="false">M$27*Setup!$B$7</f>
        <v>51704</v>
      </c>
      <c r="N4" s="20" t="n">
        <f aca="false">SUM(B4:M4)</f>
        <v>584016</v>
      </c>
    </row>
    <row r="5" customFormat="false" ht="15" hidden="false" customHeight="false" outlineLevel="0" collapsed="false">
      <c r="A5" s="39" t="s">
        <v>49</v>
      </c>
      <c r="B5" s="40" t="n">
        <v>6500</v>
      </c>
      <c r="C5" s="40" t="n">
        <v>6500</v>
      </c>
      <c r="D5" s="40" t="n">
        <v>6500</v>
      </c>
      <c r="E5" s="40" t="n">
        <v>6500</v>
      </c>
      <c r="F5" s="40" t="n">
        <v>6500</v>
      </c>
      <c r="G5" s="40" t="n">
        <v>6500</v>
      </c>
      <c r="H5" s="40" t="n">
        <v>6500</v>
      </c>
      <c r="I5" s="40" t="n">
        <v>6500</v>
      </c>
      <c r="J5" s="40" t="n">
        <v>6500</v>
      </c>
      <c r="K5" s="40" t="n">
        <v>6500</v>
      </c>
      <c r="L5" s="40" t="n">
        <v>6500</v>
      </c>
      <c r="M5" s="40" t="n">
        <v>6500</v>
      </c>
      <c r="N5" s="20" t="n">
        <f aca="false">SUM(B5:M5)</f>
        <v>78000</v>
      </c>
    </row>
    <row r="6" customFormat="false" ht="15" hidden="false" customHeight="false" outlineLevel="0" collapsed="false">
      <c r="A6" s="39" t="s">
        <v>50</v>
      </c>
      <c r="B6" s="40" t="n">
        <v>1800</v>
      </c>
      <c r="C6" s="40" t="n">
        <v>1800</v>
      </c>
      <c r="D6" s="40" t="n">
        <v>1800</v>
      </c>
      <c r="E6" s="40" t="n">
        <v>1800</v>
      </c>
      <c r="F6" s="40" t="n">
        <v>1800</v>
      </c>
      <c r="G6" s="40" t="n">
        <v>1800</v>
      </c>
      <c r="H6" s="40" t="n">
        <v>1800</v>
      </c>
      <c r="I6" s="40" t="n">
        <v>1800</v>
      </c>
      <c r="J6" s="40" t="n">
        <v>1800</v>
      </c>
      <c r="K6" s="40" t="n">
        <v>1800</v>
      </c>
      <c r="L6" s="40" t="n">
        <v>1800</v>
      </c>
      <c r="M6" s="40" t="n">
        <v>1800</v>
      </c>
      <c r="N6" s="20" t="n">
        <f aca="false">SUM(B6:M6)</f>
        <v>21600</v>
      </c>
    </row>
    <row r="7" customFormat="false" ht="15" hidden="false" customHeight="false" outlineLevel="0" collapsed="false">
      <c r="A7" s="39" t="s">
        <v>51</v>
      </c>
      <c r="B7" s="40" t="n">
        <v>1200</v>
      </c>
      <c r="C7" s="40" t="n">
        <v>1200</v>
      </c>
      <c r="D7" s="40" t="n">
        <v>1200</v>
      </c>
      <c r="E7" s="40" t="n">
        <v>1200</v>
      </c>
      <c r="F7" s="40" t="n">
        <v>1200</v>
      </c>
      <c r="G7" s="40" t="n">
        <v>1200</v>
      </c>
      <c r="H7" s="40" t="n">
        <v>1200</v>
      </c>
      <c r="I7" s="40" t="n">
        <v>1200</v>
      </c>
      <c r="J7" s="40" t="n">
        <v>1200</v>
      </c>
      <c r="K7" s="40" t="n">
        <v>1200</v>
      </c>
      <c r="L7" s="40" t="n">
        <v>1200</v>
      </c>
      <c r="M7" s="40" t="n">
        <v>1200</v>
      </c>
      <c r="N7" s="20" t="n">
        <f aca="false">SUM(B7:M7)</f>
        <v>14400</v>
      </c>
    </row>
    <row r="8" customFormat="false" ht="15" hidden="false" customHeight="false" outlineLevel="0" collapsed="false">
      <c r="A8" s="39" t="s">
        <v>52</v>
      </c>
      <c r="B8" s="40" t="n">
        <v>300</v>
      </c>
      <c r="C8" s="40" t="n">
        <v>300</v>
      </c>
      <c r="D8" s="40" t="n">
        <v>300</v>
      </c>
      <c r="E8" s="40" t="n">
        <v>300</v>
      </c>
      <c r="F8" s="40" t="n">
        <v>300</v>
      </c>
      <c r="G8" s="40" t="n">
        <v>300</v>
      </c>
      <c r="H8" s="40" t="n">
        <v>300</v>
      </c>
      <c r="I8" s="40" t="n">
        <v>300</v>
      </c>
      <c r="J8" s="40" t="n">
        <v>300</v>
      </c>
      <c r="K8" s="40" t="n">
        <v>300</v>
      </c>
      <c r="L8" s="40" t="n">
        <v>300</v>
      </c>
      <c r="M8" s="40" t="n">
        <v>300</v>
      </c>
      <c r="N8" s="20" t="n">
        <f aca="false">SUM(B8:M8)</f>
        <v>3600</v>
      </c>
    </row>
    <row r="9" customFormat="false" ht="15" hidden="false" customHeight="false" outlineLevel="0" collapsed="false">
      <c r="A9" s="14" t="s">
        <v>53</v>
      </c>
      <c r="B9" s="20" t="n">
        <f aca="false">SUM(B4:B8)</f>
        <v>55432</v>
      </c>
      <c r="C9" s="20" t="n">
        <f aca="false">SUM(C4:C8)</f>
        <v>55984</v>
      </c>
      <c r="D9" s="20" t="n">
        <f aca="false">SUM(D4:D8)</f>
        <v>56536</v>
      </c>
      <c r="E9" s="20" t="n">
        <f aca="false">SUM(E4:E8)</f>
        <v>57088</v>
      </c>
      <c r="F9" s="20" t="n">
        <f aca="false">SUM(F4:F8)</f>
        <v>57640</v>
      </c>
      <c r="G9" s="20" t="n">
        <f aca="false">SUM(G4:G8)</f>
        <v>58192</v>
      </c>
      <c r="H9" s="20" t="n">
        <f aca="false">SUM(H4:H8)</f>
        <v>58744</v>
      </c>
      <c r="I9" s="20" t="n">
        <f aca="false">SUM(I4:I8)</f>
        <v>59296</v>
      </c>
      <c r="J9" s="20" t="n">
        <f aca="false">SUM(J4:J8)</f>
        <v>59848</v>
      </c>
      <c r="K9" s="20" t="n">
        <f aca="false">SUM(K4:K8)</f>
        <v>60400</v>
      </c>
      <c r="L9" s="20" t="n">
        <f aca="false">SUM(L4:L8)</f>
        <v>60952</v>
      </c>
      <c r="M9" s="20" t="n">
        <f aca="false">SUM(M4:M8)</f>
        <v>61504</v>
      </c>
      <c r="N9" s="20" t="n">
        <f aca="false">SUM(B9:M9)</f>
        <v>701616</v>
      </c>
    </row>
    <row r="11" customFormat="false" ht="15" hidden="false" customHeight="false" outlineLevel="0" collapsed="false">
      <c r="A11" s="38" t="s">
        <v>92</v>
      </c>
    </row>
    <row r="12" customFormat="false" ht="15" hidden="false" customHeight="false" outlineLevel="0" collapsed="false">
      <c r="A12" s="39" t="s">
        <v>54</v>
      </c>
      <c r="B12" s="40" t="n">
        <v>14000</v>
      </c>
      <c r="C12" s="40" t="n">
        <v>14000</v>
      </c>
      <c r="D12" s="40" t="n">
        <v>14000</v>
      </c>
      <c r="E12" s="40" t="n">
        <v>14000</v>
      </c>
      <c r="F12" s="40" t="n">
        <v>14000</v>
      </c>
      <c r="G12" s="40" t="n">
        <v>14000</v>
      </c>
      <c r="H12" s="40" t="n">
        <v>14000</v>
      </c>
      <c r="I12" s="40" t="n">
        <v>14000</v>
      </c>
      <c r="J12" s="40" t="n">
        <v>14000</v>
      </c>
      <c r="K12" s="40" t="n">
        <v>14000</v>
      </c>
      <c r="L12" s="40" t="n">
        <v>14000</v>
      </c>
      <c r="M12" s="40" t="n">
        <v>14000</v>
      </c>
      <c r="N12" s="20" t="n">
        <f aca="false">SUM(B12:M12)</f>
        <v>168000</v>
      </c>
    </row>
    <row r="13" customFormat="false" ht="15" hidden="false" customHeight="false" outlineLevel="0" collapsed="false">
      <c r="A13" s="39" t="s">
        <v>55</v>
      </c>
      <c r="B13" s="40" t="n">
        <v>21000</v>
      </c>
      <c r="C13" s="40" t="n">
        <v>21000</v>
      </c>
      <c r="D13" s="40" t="n">
        <v>21000</v>
      </c>
      <c r="E13" s="40" t="n">
        <v>21000</v>
      </c>
      <c r="F13" s="40" t="n">
        <v>21000</v>
      </c>
      <c r="G13" s="40" t="n">
        <v>21000</v>
      </c>
      <c r="H13" s="40" t="n">
        <v>21000</v>
      </c>
      <c r="I13" s="40" t="n">
        <v>21000</v>
      </c>
      <c r="J13" s="40" t="n">
        <v>21000</v>
      </c>
      <c r="K13" s="40" t="n">
        <v>21000</v>
      </c>
      <c r="L13" s="40" t="n">
        <v>21000</v>
      </c>
      <c r="M13" s="40" t="n">
        <v>21000</v>
      </c>
      <c r="N13" s="20" t="n">
        <f aca="false">SUM(B13:M13)</f>
        <v>252000</v>
      </c>
    </row>
    <row r="14" customFormat="false" ht="15" hidden="false" customHeight="false" outlineLevel="0" collapsed="false">
      <c r="A14" s="39" t="s">
        <v>56</v>
      </c>
      <c r="B14" s="17" t="n">
        <f aca="false">B13*Setup!$B$9</f>
        <v>2520</v>
      </c>
      <c r="C14" s="17" t="n">
        <f aca="false">C13*Setup!$B$9</f>
        <v>2520</v>
      </c>
      <c r="D14" s="17" t="n">
        <f aca="false">D13*Setup!$B$9</f>
        <v>2520</v>
      </c>
      <c r="E14" s="17" t="n">
        <f aca="false">E13*Setup!$B$9</f>
        <v>2520</v>
      </c>
      <c r="F14" s="17" t="n">
        <f aca="false">F13*Setup!$B$9</f>
        <v>2520</v>
      </c>
      <c r="G14" s="17" t="n">
        <f aca="false">G13*Setup!$B$9</f>
        <v>2520</v>
      </c>
      <c r="H14" s="17" t="n">
        <f aca="false">H13*Setup!$B$9</f>
        <v>2520</v>
      </c>
      <c r="I14" s="17" t="n">
        <f aca="false">I13*Setup!$B$9</f>
        <v>2520</v>
      </c>
      <c r="J14" s="17" t="n">
        <f aca="false">J13*Setup!$B$9</f>
        <v>2520</v>
      </c>
      <c r="K14" s="17" t="n">
        <f aca="false">K13*Setup!$B$9</f>
        <v>2520</v>
      </c>
      <c r="L14" s="17" t="n">
        <f aca="false">L13*Setup!$B$9</f>
        <v>2520</v>
      </c>
      <c r="M14" s="17" t="n">
        <f aca="false">M13*Setup!$B$9</f>
        <v>2520</v>
      </c>
      <c r="N14" s="20" t="n">
        <f aca="false">SUM(B14:M14)</f>
        <v>30240</v>
      </c>
    </row>
    <row r="15" customFormat="false" ht="15" hidden="false" customHeight="false" outlineLevel="0" collapsed="false">
      <c r="A15" s="39" t="s">
        <v>57</v>
      </c>
      <c r="B15" s="40" t="n">
        <v>3800</v>
      </c>
      <c r="C15" s="40" t="n">
        <v>3800</v>
      </c>
      <c r="D15" s="40" t="n">
        <v>3800</v>
      </c>
      <c r="E15" s="40" t="n">
        <v>3800</v>
      </c>
      <c r="F15" s="40" t="n">
        <v>3800</v>
      </c>
      <c r="G15" s="40" t="n">
        <v>3800</v>
      </c>
      <c r="H15" s="40" t="n">
        <v>3800</v>
      </c>
      <c r="I15" s="40" t="n">
        <v>3800</v>
      </c>
      <c r="J15" s="40" t="n">
        <v>3800</v>
      </c>
      <c r="K15" s="40" t="n">
        <v>3800</v>
      </c>
      <c r="L15" s="40" t="n">
        <v>3800</v>
      </c>
      <c r="M15" s="40" t="n">
        <v>3800</v>
      </c>
      <c r="N15" s="20" t="n">
        <f aca="false">SUM(B15:M15)</f>
        <v>45600</v>
      </c>
    </row>
    <row r="16" customFormat="false" ht="15" hidden="false" customHeight="false" outlineLevel="0" collapsed="false">
      <c r="A16" s="39" t="s">
        <v>58</v>
      </c>
      <c r="B16" s="40" t="n">
        <v>2200</v>
      </c>
      <c r="C16" s="40" t="n">
        <v>2200</v>
      </c>
      <c r="D16" s="40" t="n">
        <v>2200</v>
      </c>
      <c r="E16" s="40" t="n">
        <v>2200</v>
      </c>
      <c r="F16" s="40" t="n">
        <v>2200</v>
      </c>
      <c r="G16" s="40" t="n">
        <v>2200</v>
      </c>
      <c r="H16" s="40" t="n">
        <v>2200</v>
      </c>
      <c r="I16" s="40" t="n">
        <v>2200</v>
      </c>
      <c r="J16" s="40" t="n">
        <v>2200</v>
      </c>
      <c r="K16" s="40" t="n">
        <v>2200</v>
      </c>
      <c r="L16" s="40" t="n">
        <v>2200</v>
      </c>
      <c r="M16" s="40" t="n">
        <v>2200</v>
      </c>
      <c r="N16" s="20" t="n">
        <f aca="false">SUM(B16:M16)</f>
        <v>26400</v>
      </c>
    </row>
    <row r="17" customFormat="false" ht="15" hidden="false" customHeight="false" outlineLevel="0" collapsed="false">
      <c r="A17" s="39" t="s">
        <v>59</v>
      </c>
      <c r="B17" s="40" t="n">
        <v>2500</v>
      </c>
      <c r="C17" s="40" t="n">
        <v>2500</v>
      </c>
      <c r="D17" s="40" t="n">
        <v>2500</v>
      </c>
      <c r="E17" s="40" t="n">
        <v>2500</v>
      </c>
      <c r="F17" s="40" t="n">
        <v>2500</v>
      </c>
      <c r="G17" s="40" t="n">
        <v>2500</v>
      </c>
      <c r="H17" s="40" t="n">
        <v>2500</v>
      </c>
      <c r="I17" s="40" t="n">
        <v>2500</v>
      </c>
      <c r="J17" s="40" t="n">
        <v>2500</v>
      </c>
      <c r="K17" s="40" t="n">
        <v>2500</v>
      </c>
      <c r="L17" s="40" t="n">
        <v>2500</v>
      </c>
      <c r="M17" s="40" t="n">
        <v>2500</v>
      </c>
      <c r="N17" s="20" t="n">
        <f aca="false">SUM(B17:M17)</f>
        <v>30000</v>
      </c>
    </row>
    <row r="18" customFormat="false" ht="15" hidden="false" customHeight="false" outlineLevel="0" collapsed="false">
      <c r="A18" s="39" t="s">
        <v>60</v>
      </c>
      <c r="B18" s="40" t="n">
        <v>3100</v>
      </c>
      <c r="C18" s="40" t="n">
        <v>3100</v>
      </c>
      <c r="D18" s="40" t="n">
        <v>3100</v>
      </c>
      <c r="E18" s="40" t="n">
        <v>3100</v>
      </c>
      <c r="F18" s="40" t="n">
        <v>3100</v>
      </c>
      <c r="G18" s="40" t="n">
        <v>3100</v>
      </c>
      <c r="H18" s="40" t="n">
        <v>3100</v>
      </c>
      <c r="I18" s="40" t="n">
        <v>3100</v>
      </c>
      <c r="J18" s="40" t="n">
        <v>3100</v>
      </c>
      <c r="K18" s="40" t="n">
        <v>3100</v>
      </c>
      <c r="L18" s="40" t="n">
        <v>3100</v>
      </c>
      <c r="M18" s="40" t="n">
        <v>3100</v>
      </c>
      <c r="N18" s="20" t="n">
        <f aca="false">SUM(B18:M18)</f>
        <v>37200</v>
      </c>
    </row>
    <row r="19" customFormat="false" ht="15" hidden="false" customHeight="false" outlineLevel="0" collapsed="false">
      <c r="A19" s="39" t="s">
        <v>61</v>
      </c>
      <c r="B19" s="40" t="n">
        <v>900</v>
      </c>
      <c r="C19" s="40" t="n">
        <v>900</v>
      </c>
      <c r="D19" s="40" t="n">
        <v>900</v>
      </c>
      <c r="E19" s="40" t="n">
        <v>900</v>
      </c>
      <c r="F19" s="40" t="n">
        <v>900</v>
      </c>
      <c r="G19" s="40" t="n">
        <v>900</v>
      </c>
      <c r="H19" s="40" t="n">
        <v>900</v>
      </c>
      <c r="I19" s="40" t="n">
        <v>900</v>
      </c>
      <c r="J19" s="40" t="n">
        <v>900</v>
      </c>
      <c r="K19" s="40" t="n">
        <v>900</v>
      </c>
      <c r="L19" s="40" t="n">
        <v>900</v>
      </c>
      <c r="M19" s="40" t="n">
        <v>900</v>
      </c>
      <c r="N19" s="20" t="n">
        <f aca="false">SUM(B19:M19)</f>
        <v>10800</v>
      </c>
    </row>
    <row r="20" customFormat="false" ht="15" hidden="false" customHeight="false" outlineLevel="0" collapsed="false">
      <c r="A20" s="39" t="s">
        <v>62</v>
      </c>
      <c r="B20" s="40" t="n">
        <v>700</v>
      </c>
      <c r="C20" s="40" t="n">
        <v>700</v>
      </c>
      <c r="D20" s="40" t="n">
        <v>700</v>
      </c>
      <c r="E20" s="40" t="n">
        <v>700</v>
      </c>
      <c r="F20" s="40" t="n">
        <v>700</v>
      </c>
      <c r="G20" s="40" t="n">
        <v>700</v>
      </c>
      <c r="H20" s="40" t="n">
        <v>700</v>
      </c>
      <c r="I20" s="40" t="n">
        <v>700</v>
      </c>
      <c r="J20" s="40" t="n">
        <v>700</v>
      </c>
      <c r="K20" s="40" t="n">
        <v>700</v>
      </c>
      <c r="L20" s="40" t="n">
        <v>700</v>
      </c>
      <c r="M20" s="40" t="n">
        <v>700</v>
      </c>
      <c r="N20" s="20" t="n">
        <f aca="false">SUM(B20:M20)</f>
        <v>8400</v>
      </c>
    </row>
    <row r="21" customFormat="false" ht="15" hidden="false" customHeight="false" outlineLevel="0" collapsed="false">
      <c r="A21" s="39" t="s">
        <v>63</v>
      </c>
      <c r="B21" s="40" t="n">
        <v>800</v>
      </c>
      <c r="C21" s="40" t="n">
        <v>800</v>
      </c>
      <c r="D21" s="40" t="n">
        <v>800</v>
      </c>
      <c r="E21" s="40" t="n">
        <v>800</v>
      </c>
      <c r="F21" s="40" t="n">
        <v>800</v>
      </c>
      <c r="G21" s="40" t="n">
        <v>800</v>
      </c>
      <c r="H21" s="40" t="n">
        <v>800</v>
      </c>
      <c r="I21" s="40" t="n">
        <v>800</v>
      </c>
      <c r="J21" s="40" t="n">
        <v>800</v>
      </c>
      <c r="K21" s="40" t="n">
        <v>800</v>
      </c>
      <c r="L21" s="40" t="n">
        <v>800</v>
      </c>
      <c r="M21" s="40" t="n">
        <v>800</v>
      </c>
      <c r="N21" s="20" t="n">
        <f aca="false">SUM(B21:M21)</f>
        <v>9600</v>
      </c>
    </row>
    <row r="22" customFormat="false" ht="15" hidden="false" customHeight="false" outlineLevel="0" collapsed="false">
      <c r="A22" s="14" t="s">
        <v>64</v>
      </c>
      <c r="B22" s="20" t="n">
        <f aca="false">SUM(B12:B21)</f>
        <v>51520</v>
      </c>
      <c r="C22" s="20" t="n">
        <f aca="false">SUM(C12:C21)</f>
        <v>51520</v>
      </c>
      <c r="D22" s="20" t="n">
        <f aca="false">SUM(D12:D21)</f>
        <v>51520</v>
      </c>
      <c r="E22" s="20" t="n">
        <f aca="false">SUM(E12:E21)</f>
        <v>51520</v>
      </c>
      <c r="F22" s="20" t="n">
        <f aca="false">SUM(F12:F21)</f>
        <v>51520</v>
      </c>
      <c r="G22" s="20" t="n">
        <f aca="false">SUM(G12:G21)</f>
        <v>51520</v>
      </c>
      <c r="H22" s="20" t="n">
        <f aca="false">SUM(H12:H21)</f>
        <v>51520</v>
      </c>
      <c r="I22" s="20" t="n">
        <f aca="false">SUM(I12:I21)</f>
        <v>51520</v>
      </c>
      <c r="J22" s="20" t="n">
        <f aca="false">SUM(J12:J21)</f>
        <v>51520</v>
      </c>
      <c r="K22" s="20" t="n">
        <f aca="false">SUM(K12:K21)</f>
        <v>51520</v>
      </c>
      <c r="L22" s="20" t="n">
        <f aca="false">SUM(L12:L21)</f>
        <v>51520</v>
      </c>
      <c r="M22" s="20" t="n">
        <f aca="false">SUM(M12:M21)</f>
        <v>51520</v>
      </c>
      <c r="N22" s="20" t="n">
        <f aca="false">SUM(B22:M22)</f>
        <v>618240</v>
      </c>
    </row>
    <row r="23" customFormat="false" ht="15" hidden="false" customHeight="false" outlineLevel="0" collapsed="false">
      <c r="A23" s="38"/>
    </row>
    <row r="24" customFormat="false" ht="15" hidden="false" customHeight="false" outlineLevel="0" collapsed="false">
      <c r="A24" s="14" t="s">
        <v>65</v>
      </c>
      <c r="B24" s="20" t="n">
        <f aca="false">B9-B22</f>
        <v>3912</v>
      </c>
      <c r="C24" s="20" t="n">
        <f aca="false">C9-C22</f>
        <v>4464</v>
      </c>
      <c r="D24" s="20" t="n">
        <f aca="false">D9-D22</f>
        <v>5016</v>
      </c>
      <c r="E24" s="20" t="n">
        <f aca="false">E9-E22</f>
        <v>5568</v>
      </c>
      <c r="F24" s="20" t="n">
        <f aca="false">F9-F22</f>
        <v>6120</v>
      </c>
      <c r="G24" s="20" t="n">
        <f aca="false">G9-G22</f>
        <v>6672</v>
      </c>
      <c r="H24" s="20" t="n">
        <f aca="false">H9-H22</f>
        <v>7224</v>
      </c>
      <c r="I24" s="20" t="n">
        <f aca="false">I9-I22</f>
        <v>7776</v>
      </c>
      <c r="J24" s="20" t="n">
        <f aca="false">J9-J22</f>
        <v>8328</v>
      </c>
      <c r="K24" s="20" t="n">
        <f aca="false">K9-K22</f>
        <v>8880</v>
      </c>
      <c r="L24" s="20" t="n">
        <f aca="false">L9-L22</f>
        <v>9432</v>
      </c>
      <c r="M24" s="20" t="n">
        <f aca="false">M9-M22</f>
        <v>9984</v>
      </c>
      <c r="N24" s="20" t="n">
        <f aca="false">SUM(B24:M24)</f>
        <v>83376</v>
      </c>
    </row>
    <row r="25" customFormat="false" ht="15" hidden="false" customHeight="false" outlineLevel="0" collapsed="false">
      <c r="A25" s="14" t="s">
        <v>93</v>
      </c>
      <c r="B25" s="41" t="n">
        <f aca="false">IF(B9=0,0,B24/B9)</f>
        <v>0.0705729542502526</v>
      </c>
      <c r="C25" s="41" t="n">
        <f aca="false">IF(C9=0,0,C24/C9)</f>
        <v>0.0797370677336382</v>
      </c>
      <c r="D25" s="41" t="n">
        <f aca="false">IF(D9=0,0,D24/D9)</f>
        <v>0.0887222300834866</v>
      </c>
      <c r="E25" s="41" t="n">
        <f aca="false">IF(E9=0,0,E24/E9)</f>
        <v>0.0975336322869955</v>
      </c>
      <c r="F25" s="41" t="n">
        <f aca="false">IF(F9=0,0,F24/F9)</f>
        <v>0.10617626648161</v>
      </c>
      <c r="G25" s="41" t="n">
        <f aca="false">IF(G9=0,0,G24/G9)</f>
        <v>0.114654935386307</v>
      </c>
      <c r="H25" s="41" t="n">
        <f aca="false">IF(H9=0,0,H24/H9)</f>
        <v>0.122974261201144</v>
      </c>
      <c r="I25" s="41" t="n">
        <f aca="false">IF(I9=0,0,I24/I9)</f>
        <v>0.131138694009714</v>
      </c>
      <c r="J25" s="41" t="n">
        <f aca="false">IF(J9=0,0,J24/J9)</f>
        <v>0.139152519716615</v>
      </c>
      <c r="K25" s="41" t="n">
        <f aca="false">IF(K9=0,0,K24/K9)</f>
        <v>0.147019867549669</v>
      </c>
      <c r="L25" s="41" t="n">
        <f aca="false">IF(L9=0,0,L24/L9)</f>
        <v>0.154744717154482</v>
      </c>
      <c r="M25" s="41" t="n">
        <f aca="false">IF(M9=0,0,M24/M9)</f>
        <v>0.162330905306972</v>
      </c>
      <c r="N25" s="41" t="n">
        <f aca="false">IF(N9=0,0,N24/N9)</f>
        <v>0.118834234110967</v>
      </c>
    </row>
    <row r="27" customFormat="false" ht="15" hidden="false" customHeight="false" outlineLevel="0" collapsed="false">
      <c r="A27" s="14" t="s">
        <v>94</v>
      </c>
      <c r="B27" s="42" t="n">
        <f aca="false">Setup!$B$6+Setup!$B$8*1</f>
        <v>992</v>
      </c>
      <c r="C27" s="42" t="n">
        <f aca="false">Setup!$B$6+Setup!$B$8*2</f>
        <v>1004</v>
      </c>
      <c r="D27" s="42" t="n">
        <f aca="false">Setup!$B$6+Setup!$B$8*3</f>
        <v>1016</v>
      </c>
      <c r="E27" s="42" t="n">
        <f aca="false">Setup!$B$6+Setup!$B$8*4</f>
        <v>1028</v>
      </c>
      <c r="F27" s="42" t="n">
        <f aca="false">Setup!$B$6+Setup!$B$8*5</f>
        <v>1040</v>
      </c>
      <c r="G27" s="42" t="n">
        <f aca="false">Setup!$B$6+Setup!$B$8*6</f>
        <v>1052</v>
      </c>
      <c r="H27" s="42" t="n">
        <f aca="false">Setup!$B$6+Setup!$B$8*7</f>
        <v>1064</v>
      </c>
      <c r="I27" s="42" t="n">
        <f aca="false">Setup!$B$6+Setup!$B$8*8</f>
        <v>1076</v>
      </c>
      <c r="J27" s="42" t="n">
        <f aca="false">Setup!$B$6+Setup!$B$8*9</f>
        <v>1088</v>
      </c>
      <c r="K27" s="42" t="n">
        <f aca="false">Setup!$B$6+Setup!$B$8*10</f>
        <v>1100</v>
      </c>
      <c r="L27" s="42" t="n">
        <f aca="false">Setup!$B$6+Setup!$B$8*11</f>
        <v>1112</v>
      </c>
      <c r="M27" s="42" t="n">
        <f aca="false">Setup!$B$6+Setup!$B$8*12</f>
        <v>1124</v>
      </c>
    </row>
    <row r="28" customFormat="false" ht="15" hidden="false" customHeight="false" outlineLevel="0" collapsed="false">
      <c r="A28" s="27" t="s">
        <v>95</v>
      </c>
    </row>
  </sheetData>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budget and KPI tracker | clubpilot.au/resources&amp;RPage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N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3" min="2" style="1" width="11"/>
    <col collapsed="false" customWidth="true" hidden="false" outlineLevel="0" max="14" min="14" style="1" width="13"/>
  </cols>
  <sheetData>
    <row r="1" customFormat="false" ht="17.35" hidden="false" customHeight="false" outlineLevel="0" collapsed="false">
      <c r="A1" s="35" t="s">
        <v>10</v>
      </c>
    </row>
    <row r="2" customFormat="false" ht="24" hidden="false" customHeight="true" outlineLevel="0" collapsed="false">
      <c r="A2" s="16" t="s">
        <v>42</v>
      </c>
      <c r="B2" s="36" t="n">
        <f aca="false">EDATE(Setup!$B$5,0)</f>
        <v>46204</v>
      </c>
      <c r="C2" s="36" t="n">
        <f aca="false">EDATE(Setup!$B$5,1)</f>
        <v>46235</v>
      </c>
      <c r="D2" s="36" t="n">
        <f aca="false">EDATE(Setup!$B$5,2)</f>
        <v>46266</v>
      </c>
      <c r="E2" s="36" t="n">
        <f aca="false">EDATE(Setup!$B$5,3)</f>
        <v>46296</v>
      </c>
      <c r="F2" s="36" t="n">
        <f aca="false">EDATE(Setup!$B$5,4)</f>
        <v>46327</v>
      </c>
      <c r="G2" s="36" t="n">
        <f aca="false">EDATE(Setup!$B$5,5)</f>
        <v>46357</v>
      </c>
      <c r="H2" s="36" t="n">
        <f aca="false">EDATE(Setup!$B$5,6)</f>
        <v>46388</v>
      </c>
      <c r="I2" s="36" t="n">
        <f aca="false">EDATE(Setup!$B$5,7)</f>
        <v>46419</v>
      </c>
      <c r="J2" s="36" t="n">
        <f aca="false">EDATE(Setup!$B$5,8)</f>
        <v>46447</v>
      </c>
      <c r="K2" s="36" t="n">
        <f aca="false">EDATE(Setup!$B$5,9)</f>
        <v>46478</v>
      </c>
      <c r="L2" s="36" t="n">
        <f aca="false">EDATE(Setup!$B$5,10)</f>
        <v>46508</v>
      </c>
      <c r="M2" s="36" t="n">
        <f aca="false">EDATE(Setup!$B$5,11)</f>
        <v>46539</v>
      </c>
      <c r="N2" s="37" t="s">
        <v>90</v>
      </c>
    </row>
    <row r="3" customFormat="false" ht="15" hidden="false" customHeight="false" outlineLevel="0" collapsed="false">
      <c r="A3" s="38" t="s">
        <v>91</v>
      </c>
    </row>
    <row r="4" customFormat="false" ht="15" hidden="false" customHeight="false" outlineLevel="0" collapsed="false">
      <c r="A4" s="39" t="s">
        <v>48</v>
      </c>
      <c r="B4" s="40" t="n">
        <v>43900</v>
      </c>
      <c r="C4" s="40" t="n">
        <v>45100</v>
      </c>
      <c r="D4" s="40" t="n">
        <v>45800</v>
      </c>
      <c r="E4" s="40" t="n">
        <v>47200</v>
      </c>
      <c r="F4" s="40"/>
      <c r="G4" s="40"/>
      <c r="H4" s="40"/>
      <c r="I4" s="40"/>
      <c r="J4" s="40"/>
      <c r="K4" s="40"/>
      <c r="L4" s="40"/>
      <c r="M4" s="40"/>
      <c r="N4" s="20" t="n">
        <f aca="false">SUM(B4:M4)</f>
        <v>182000</v>
      </c>
    </row>
    <row r="5" customFormat="false" ht="15" hidden="false" customHeight="false" outlineLevel="0" collapsed="false">
      <c r="A5" s="39" t="s">
        <v>49</v>
      </c>
      <c r="B5" s="40" t="n">
        <v>6100</v>
      </c>
      <c r="C5" s="40" t="n">
        <v>6900</v>
      </c>
      <c r="D5" s="40" t="n">
        <v>7200</v>
      </c>
      <c r="E5" s="40" t="n">
        <v>6400</v>
      </c>
      <c r="F5" s="40"/>
      <c r="G5" s="40"/>
      <c r="H5" s="40"/>
      <c r="I5" s="40"/>
      <c r="J5" s="40"/>
      <c r="K5" s="40"/>
      <c r="L5" s="40"/>
      <c r="M5" s="40"/>
      <c r="N5" s="20" t="n">
        <f aca="false">SUM(B5:M5)</f>
        <v>26600</v>
      </c>
    </row>
    <row r="6" customFormat="false" ht="15" hidden="false" customHeight="false" outlineLevel="0" collapsed="false">
      <c r="A6" s="39" t="s">
        <v>50</v>
      </c>
      <c r="B6" s="40" t="n">
        <v>1650</v>
      </c>
      <c r="C6" s="40" t="n">
        <v>1720</v>
      </c>
      <c r="D6" s="40" t="n">
        <v>2100</v>
      </c>
      <c r="E6" s="40" t="n">
        <v>1980</v>
      </c>
      <c r="F6" s="40"/>
      <c r="G6" s="40"/>
      <c r="H6" s="40"/>
      <c r="I6" s="40"/>
      <c r="J6" s="40"/>
      <c r="K6" s="40"/>
      <c r="L6" s="40"/>
      <c r="M6" s="40"/>
      <c r="N6" s="20" t="n">
        <f aca="false">SUM(B6:M6)</f>
        <v>7450</v>
      </c>
    </row>
    <row r="7" customFormat="false" ht="15" hidden="false" customHeight="false" outlineLevel="0" collapsed="false">
      <c r="A7" s="39" t="s">
        <v>51</v>
      </c>
      <c r="B7" s="40" t="n">
        <v>980</v>
      </c>
      <c r="C7" s="40" t="n">
        <v>1240</v>
      </c>
      <c r="D7" s="40" t="n">
        <v>1310</v>
      </c>
      <c r="E7" s="40" t="n">
        <v>1150</v>
      </c>
      <c r="F7" s="40"/>
      <c r="G7" s="40"/>
      <c r="H7" s="40"/>
      <c r="I7" s="40"/>
      <c r="J7" s="40"/>
      <c r="K7" s="40"/>
      <c r="L7" s="40"/>
      <c r="M7" s="40"/>
      <c r="N7" s="20" t="n">
        <f aca="false">SUM(B7:M7)</f>
        <v>4680</v>
      </c>
    </row>
    <row r="8" customFormat="false" ht="15" hidden="false" customHeight="false" outlineLevel="0" collapsed="false">
      <c r="A8" s="39" t="s">
        <v>52</v>
      </c>
      <c r="B8" s="40" t="n">
        <v>250</v>
      </c>
      <c r="C8" s="40" t="n">
        <v>0</v>
      </c>
      <c r="D8" s="40" t="n">
        <v>420</v>
      </c>
      <c r="E8" s="40" t="n">
        <v>300</v>
      </c>
      <c r="F8" s="40"/>
      <c r="G8" s="40"/>
      <c r="H8" s="40"/>
      <c r="I8" s="40"/>
      <c r="J8" s="40"/>
      <c r="K8" s="40"/>
      <c r="L8" s="40"/>
      <c r="M8" s="40"/>
      <c r="N8" s="20" t="n">
        <f aca="false">SUM(B8:M8)</f>
        <v>970</v>
      </c>
    </row>
    <row r="9" customFormat="false" ht="15" hidden="false" customHeight="false" outlineLevel="0" collapsed="false">
      <c r="A9" s="14" t="s">
        <v>53</v>
      </c>
      <c r="B9" s="20" t="n">
        <f aca="false">SUM(B4:B8)</f>
        <v>52880</v>
      </c>
      <c r="C9" s="20" t="n">
        <f aca="false">SUM(C4:C8)</f>
        <v>54960</v>
      </c>
      <c r="D9" s="20" t="n">
        <f aca="false">SUM(D4:D8)</f>
        <v>56830</v>
      </c>
      <c r="E9" s="20" t="n">
        <f aca="false">SUM(E4:E8)</f>
        <v>57030</v>
      </c>
      <c r="F9" s="20" t="n">
        <f aca="false">SUM(F4:F8)</f>
        <v>0</v>
      </c>
      <c r="G9" s="20" t="n">
        <f aca="false">SUM(G4:G8)</f>
        <v>0</v>
      </c>
      <c r="H9" s="20" t="n">
        <f aca="false">SUM(H4:H8)</f>
        <v>0</v>
      </c>
      <c r="I9" s="20" t="n">
        <f aca="false">SUM(I4:I8)</f>
        <v>0</v>
      </c>
      <c r="J9" s="20" t="n">
        <f aca="false">SUM(J4:J8)</f>
        <v>0</v>
      </c>
      <c r="K9" s="20" t="n">
        <f aca="false">SUM(K4:K8)</f>
        <v>0</v>
      </c>
      <c r="L9" s="20" t="n">
        <f aca="false">SUM(L4:L8)</f>
        <v>0</v>
      </c>
      <c r="M9" s="20" t="n">
        <f aca="false">SUM(M4:M8)</f>
        <v>0</v>
      </c>
      <c r="N9" s="20" t="n">
        <f aca="false">SUM(B9:M9)</f>
        <v>221700</v>
      </c>
    </row>
    <row r="11" customFormat="false" ht="15" hidden="false" customHeight="false" outlineLevel="0" collapsed="false">
      <c r="A11" s="38" t="s">
        <v>92</v>
      </c>
    </row>
    <row r="12" customFormat="false" ht="15" hidden="false" customHeight="false" outlineLevel="0" collapsed="false">
      <c r="A12" s="39" t="s">
        <v>54</v>
      </c>
      <c r="B12" s="40" t="n">
        <v>14000</v>
      </c>
      <c r="C12" s="40" t="n">
        <v>14000</v>
      </c>
      <c r="D12" s="40" t="n">
        <v>14000</v>
      </c>
      <c r="E12" s="40" t="n">
        <v>14000</v>
      </c>
      <c r="F12" s="40"/>
      <c r="G12" s="40"/>
      <c r="H12" s="40"/>
      <c r="I12" s="40"/>
      <c r="J12" s="40"/>
      <c r="K12" s="40"/>
      <c r="L12" s="40"/>
      <c r="M12" s="40"/>
      <c r="N12" s="20" t="n">
        <f aca="false">SUM(B12:M12)</f>
        <v>56000</v>
      </c>
    </row>
    <row r="13" customFormat="false" ht="15" hidden="false" customHeight="false" outlineLevel="0" collapsed="false">
      <c r="A13" s="39" t="s">
        <v>55</v>
      </c>
      <c r="B13" s="40" t="n">
        <v>21400</v>
      </c>
      <c r="C13" s="40" t="n">
        <v>20800</v>
      </c>
      <c r="D13" s="40" t="n">
        <v>22300</v>
      </c>
      <c r="E13" s="40" t="n">
        <v>21900</v>
      </c>
      <c r="F13" s="40"/>
      <c r="G13" s="40"/>
      <c r="H13" s="40"/>
      <c r="I13" s="40"/>
      <c r="J13" s="40"/>
      <c r="K13" s="40"/>
      <c r="L13" s="40"/>
      <c r="M13" s="40"/>
      <c r="N13" s="20" t="n">
        <f aca="false">SUM(B13:M13)</f>
        <v>86400</v>
      </c>
    </row>
    <row r="14" customFormat="false" ht="15" hidden="false" customHeight="false" outlineLevel="0" collapsed="false">
      <c r="A14" s="39" t="s">
        <v>56</v>
      </c>
      <c r="B14" s="40" t="n">
        <v>2568</v>
      </c>
      <c r="C14" s="40" t="n">
        <v>2496</v>
      </c>
      <c r="D14" s="40" t="n">
        <v>2676</v>
      </c>
      <c r="E14" s="40" t="n">
        <v>2628</v>
      </c>
      <c r="F14" s="40"/>
      <c r="G14" s="40"/>
      <c r="H14" s="40"/>
      <c r="I14" s="40"/>
      <c r="J14" s="40"/>
      <c r="K14" s="40"/>
      <c r="L14" s="40"/>
      <c r="M14" s="40"/>
      <c r="N14" s="20" t="n">
        <f aca="false">SUM(B14:M14)</f>
        <v>10368</v>
      </c>
    </row>
    <row r="15" customFormat="false" ht="15" hidden="false" customHeight="false" outlineLevel="0" collapsed="false">
      <c r="A15" s="39" t="s">
        <v>57</v>
      </c>
      <c r="B15" s="40" t="n">
        <v>3800</v>
      </c>
      <c r="C15" s="40" t="n">
        <v>5150</v>
      </c>
      <c r="D15" s="40" t="n">
        <v>3800</v>
      </c>
      <c r="E15" s="40" t="n">
        <v>4420</v>
      </c>
      <c r="F15" s="40"/>
      <c r="G15" s="40"/>
      <c r="H15" s="40"/>
      <c r="I15" s="40"/>
      <c r="J15" s="40"/>
      <c r="K15" s="40"/>
      <c r="L15" s="40"/>
      <c r="M15" s="40"/>
      <c r="N15" s="20" t="n">
        <f aca="false">SUM(B15:M15)</f>
        <v>17170</v>
      </c>
    </row>
    <row r="16" customFormat="false" ht="15" hidden="false" customHeight="false" outlineLevel="0" collapsed="false">
      <c r="A16" s="39" t="s">
        <v>58</v>
      </c>
      <c r="B16" s="40" t="n">
        <v>2200</v>
      </c>
      <c r="C16" s="40" t="n">
        <v>2200</v>
      </c>
      <c r="D16" s="40" t="n">
        <v>2350</v>
      </c>
      <c r="E16" s="40" t="n">
        <v>2200</v>
      </c>
      <c r="F16" s="40"/>
      <c r="G16" s="40"/>
      <c r="H16" s="40"/>
      <c r="I16" s="40"/>
      <c r="J16" s="40"/>
      <c r="K16" s="40"/>
      <c r="L16" s="40"/>
      <c r="M16" s="40"/>
      <c r="N16" s="20" t="n">
        <f aca="false">SUM(B16:M16)</f>
        <v>8950</v>
      </c>
    </row>
    <row r="17" customFormat="false" ht="15" hidden="false" customHeight="false" outlineLevel="0" collapsed="false">
      <c r="A17" s="39" t="s">
        <v>59</v>
      </c>
      <c r="B17" s="40" t="n">
        <v>2400</v>
      </c>
      <c r="C17" s="40" t="n">
        <v>3100</v>
      </c>
      <c r="D17" s="40" t="n">
        <v>2650</v>
      </c>
      <c r="E17" s="40" t="n">
        <v>2200</v>
      </c>
      <c r="F17" s="40"/>
      <c r="G17" s="40"/>
      <c r="H17" s="40"/>
      <c r="I17" s="40"/>
      <c r="J17" s="40"/>
      <c r="K17" s="40"/>
      <c r="L17" s="40"/>
      <c r="M17" s="40"/>
      <c r="N17" s="20" t="n">
        <f aca="false">SUM(B17:M17)</f>
        <v>10350</v>
      </c>
    </row>
    <row r="18" customFormat="false" ht="15" hidden="false" customHeight="false" outlineLevel="0" collapsed="false">
      <c r="A18" s="39" t="s">
        <v>60</v>
      </c>
      <c r="B18" s="40" t="n">
        <v>2950</v>
      </c>
      <c r="C18" s="40" t="n">
        <v>2800</v>
      </c>
      <c r="D18" s="40" t="n">
        <v>3300</v>
      </c>
      <c r="E18" s="40" t="n">
        <v>3450</v>
      </c>
      <c r="F18" s="40"/>
      <c r="G18" s="40"/>
      <c r="H18" s="40"/>
      <c r="I18" s="40"/>
      <c r="J18" s="40"/>
      <c r="K18" s="40"/>
      <c r="L18" s="40"/>
      <c r="M18" s="40"/>
      <c r="N18" s="20" t="n">
        <f aca="false">SUM(B18:M18)</f>
        <v>12500</v>
      </c>
    </row>
    <row r="19" customFormat="false" ht="15" hidden="false" customHeight="false" outlineLevel="0" collapsed="false">
      <c r="A19" s="39" t="s">
        <v>61</v>
      </c>
      <c r="B19" s="40" t="n">
        <v>900</v>
      </c>
      <c r="C19" s="40" t="n">
        <v>900</v>
      </c>
      <c r="D19" s="40" t="n">
        <v>900</v>
      </c>
      <c r="E19" s="40" t="n">
        <v>960</v>
      </c>
      <c r="F19" s="40"/>
      <c r="G19" s="40"/>
      <c r="H19" s="40"/>
      <c r="I19" s="40"/>
      <c r="J19" s="40"/>
      <c r="K19" s="40"/>
      <c r="L19" s="40"/>
      <c r="M19" s="40"/>
      <c r="N19" s="20" t="n">
        <f aca="false">SUM(B19:M19)</f>
        <v>3660</v>
      </c>
    </row>
    <row r="20" customFormat="false" ht="15" hidden="false" customHeight="false" outlineLevel="0" collapsed="false">
      <c r="A20" s="39" t="s">
        <v>62</v>
      </c>
      <c r="B20" s="40" t="n">
        <v>700</v>
      </c>
      <c r="C20" s="40" t="n">
        <v>700</v>
      </c>
      <c r="D20" s="40" t="n">
        <v>700</v>
      </c>
      <c r="E20" s="40" t="n">
        <v>700</v>
      </c>
      <c r="F20" s="40"/>
      <c r="G20" s="40"/>
      <c r="H20" s="40"/>
      <c r="I20" s="40"/>
      <c r="J20" s="40"/>
      <c r="K20" s="40"/>
      <c r="L20" s="40"/>
      <c r="M20" s="40"/>
      <c r="N20" s="20" t="n">
        <f aca="false">SUM(B20:M20)</f>
        <v>2800</v>
      </c>
    </row>
    <row r="21" customFormat="false" ht="15" hidden="false" customHeight="false" outlineLevel="0" collapsed="false">
      <c r="A21" s="39" t="s">
        <v>63</v>
      </c>
      <c r="B21" s="40" t="n">
        <v>620</v>
      </c>
      <c r="C21" s="40" t="n">
        <v>910</v>
      </c>
      <c r="D21" s="40" t="n">
        <v>540</v>
      </c>
      <c r="E21" s="40" t="n">
        <v>760</v>
      </c>
      <c r="F21" s="40"/>
      <c r="G21" s="40"/>
      <c r="H21" s="40"/>
      <c r="I21" s="40"/>
      <c r="J21" s="40"/>
      <c r="K21" s="40"/>
      <c r="L21" s="40"/>
      <c r="M21" s="40"/>
      <c r="N21" s="20" t="n">
        <f aca="false">SUM(B21:M21)</f>
        <v>2830</v>
      </c>
    </row>
    <row r="22" customFormat="false" ht="15" hidden="false" customHeight="false" outlineLevel="0" collapsed="false">
      <c r="A22" s="14" t="s">
        <v>64</v>
      </c>
      <c r="B22" s="20" t="n">
        <f aca="false">SUM(B12:B21)</f>
        <v>51538</v>
      </c>
      <c r="C22" s="20" t="n">
        <f aca="false">SUM(C12:C21)</f>
        <v>53056</v>
      </c>
      <c r="D22" s="20" t="n">
        <f aca="false">SUM(D12:D21)</f>
        <v>53216</v>
      </c>
      <c r="E22" s="20" t="n">
        <f aca="false">SUM(E12:E21)</f>
        <v>53218</v>
      </c>
      <c r="F22" s="20" t="n">
        <f aca="false">SUM(F12:F21)</f>
        <v>0</v>
      </c>
      <c r="G22" s="20" t="n">
        <f aca="false">SUM(G12:G21)</f>
        <v>0</v>
      </c>
      <c r="H22" s="20" t="n">
        <f aca="false">SUM(H12:H21)</f>
        <v>0</v>
      </c>
      <c r="I22" s="20" t="n">
        <f aca="false">SUM(I12:I21)</f>
        <v>0</v>
      </c>
      <c r="J22" s="20" t="n">
        <f aca="false">SUM(J12:J21)</f>
        <v>0</v>
      </c>
      <c r="K22" s="20" t="n">
        <f aca="false">SUM(K12:K21)</f>
        <v>0</v>
      </c>
      <c r="L22" s="20" t="n">
        <f aca="false">SUM(L12:L21)</f>
        <v>0</v>
      </c>
      <c r="M22" s="20" t="n">
        <f aca="false">SUM(M12:M21)</f>
        <v>0</v>
      </c>
      <c r="N22" s="20" t="n">
        <f aca="false">SUM(B22:M22)</f>
        <v>211028</v>
      </c>
    </row>
    <row r="23" customFormat="false" ht="15" hidden="false" customHeight="false" outlineLevel="0" collapsed="false">
      <c r="A23" s="38"/>
    </row>
    <row r="24" customFormat="false" ht="15" hidden="false" customHeight="false" outlineLevel="0" collapsed="false">
      <c r="A24" s="14" t="s">
        <v>65</v>
      </c>
      <c r="B24" s="20" t="n">
        <f aca="false">B9-B22</f>
        <v>1342</v>
      </c>
      <c r="C24" s="20" t="n">
        <f aca="false">C9-C22</f>
        <v>1904</v>
      </c>
      <c r="D24" s="20" t="n">
        <f aca="false">D9-D22</f>
        <v>3614</v>
      </c>
      <c r="E24" s="20" t="n">
        <f aca="false">E9-E22</f>
        <v>3812</v>
      </c>
      <c r="F24" s="20" t="n">
        <f aca="false">F9-F22</f>
        <v>0</v>
      </c>
      <c r="G24" s="20" t="n">
        <f aca="false">G9-G22</f>
        <v>0</v>
      </c>
      <c r="H24" s="20" t="n">
        <f aca="false">H9-H22</f>
        <v>0</v>
      </c>
      <c r="I24" s="20" t="n">
        <f aca="false">I9-I22</f>
        <v>0</v>
      </c>
      <c r="J24" s="20" t="n">
        <f aca="false">J9-J22</f>
        <v>0</v>
      </c>
      <c r="K24" s="20" t="n">
        <f aca="false">K9-K22</f>
        <v>0</v>
      </c>
      <c r="L24" s="20" t="n">
        <f aca="false">L9-L22</f>
        <v>0</v>
      </c>
      <c r="M24" s="20" t="n">
        <f aca="false">M9-M22</f>
        <v>0</v>
      </c>
      <c r="N24" s="20" t="n">
        <f aca="false">SUM(B24:M24)</f>
        <v>10672</v>
      </c>
    </row>
    <row r="25" customFormat="false" ht="15" hidden="false" customHeight="false" outlineLevel="0" collapsed="false">
      <c r="A25" s="14" t="s">
        <v>93</v>
      </c>
      <c r="B25" s="41" t="n">
        <f aca="false">IF(B9=0,0,B24/B9)</f>
        <v>0.0253782148260212</v>
      </c>
      <c r="C25" s="41" t="n">
        <f aca="false">IF(C9=0,0,C24/C9)</f>
        <v>0.0346433770014556</v>
      </c>
      <c r="D25" s="41" t="n">
        <f aca="false">IF(D9=0,0,D24/D9)</f>
        <v>0.063593172620095</v>
      </c>
      <c r="E25" s="41" t="n">
        <f aca="false">IF(E9=0,0,E24/E9)</f>
        <v>0.0668420129756269</v>
      </c>
      <c r="F25" s="41" t="n">
        <f aca="false">IF(F9=0,0,F24/F9)</f>
        <v>0</v>
      </c>
      <c r="G25" s="41" t="n">
        <f aca="false">IF(G9=0,0,G24/G9)</f>
        <v>0</v>
      </c>
      <c r="H25" s="41" t="n">
        <f aca="false">IF(H9=0,0,H24/H9)</f>
        <v>0</v>
      </c>
      <c r="I25" s="41" t="n">
        <f aca="false">IF(I9=0,0,I24/I9)</f>
        <v>0</v>
      </c>
      <c r="J25" s="41" t="n">
        <f aca="false">IF(J9=0,0,J24/J9)</f>
        <v>0</v>
      </c>
      <c r="K25" s="41" t="n">
        <f aca="false">IF(K9=0,0,K24/K9)</f>
        <v>0</v>
      </c>
      <c r="L25" s="41" t="n">
        <f aca="false">IF(L9=0,0,L24/L9)</f>
        <v>0</v>
      </c>
      <c r="M25" s="41" t="n">
        <f aca="false">IF(M9=0,0,M24/M9)</f>
        <v>0</v>
      </c>
      <c r="N25" s="41" t="n">
        <f aca="false">IF(N9=0,0,N24/N9)</f>
        <v>0.0481371222372576</v>
      </c>
    </row>
    <row r="27" customFormat="false" ht="15" hidden="false" customHeight="false" outlineLevel="0" collapsed="false">
      <c r="A27" s="14" t="s">
        <v>96</v>
      </c>
      <c r="B27" s="43" t="n">
        <f aca="false">IF(COUNT(B4:B8)+COUNT(B12:B21)&gt;0,1,0)</f>
        <v>1</v>
      </c>
      <c r="C27" s="43" t="n">
        <f aca="false">IF(COUNT(C4:C8)+COUNT(C12:C21)&gt;0,1,0)</f>
        <v>1</v>
      </c>
      <c r="D27" s="43" t="n">
        <f aca="false">IF(COUNT(D4:D8)+COUNT(D12:D21)&gt;0,1,0)</f>
        <v>1</v>
      </c>
      <c r="E27" s="43" t="n">
        <f aca="false">IF(COUNT(E4:E8)+COUNT(E12:E21)&gt;0,1,0)</f>
        <v>1</v>
      </c>
      <c r="F27" s="43" t="n">
        <f aca="false">IF(COUNT(F4:F8)+COUNT(F12:F21)&gt;0,1,0)</f>
        <v>0</v>
      </c>
      <c r="G27" s="43" t="n">
        <f aca="false">IF(COUNT(G4:G8)+COUNT(G12:G21)&gt;0,1,0)</f>
        <v>0</v>
      </c>
      <c r="H27" s="43" t="n">
        <f aca="false">IF(COUNT(H4:H8)+COUNT(H12:H21)&gt;0,1,0)</f>
        <v>0</v>
      </c>
      <c r="I27" s="43" t="n">
        <f aca="false">IF(COUNT(I4:I8)+COUNT(I12:I21)&gt;0,1,0)</f>
        <v>0</v>
      </c>
      <c r="J27" s="43" t="n">
        <f aca="false">IF(COUNT(J4:J8)+COUNT(J12:J21)&gt;0,1,0)</f>
        <v>0</v>
      </c>
      <c r="K27" s="43" t="n">
        <f aca="false">IF(COUNT(K4:K8)+COUNT(K12:K21)&gt;0,1,0)</f>
        <v>0</v>
      </c>
      <c r="L27" s="43" t="n">
        <f aca="false">IF(COUNT(L4:L8)+COUNT(L12:L21)&gt;0,1,0)</f>
        <v>0</v>
      </c>
      <c r="M27" s="43" t="n">
        <f aca="false">IF(COUNT(M4:M8)+COUNT(M12:M21)&gt;0,1,0)</f>
        <v>0</v>
      </c>
    </row>
    <row r="28" customFormat="false" ht="15" hidden="false" customHeight="false" outlineLevel="0" collapsed="false">
      <c r="A28" s="27" t="s">
        <v>97</v>
      </c>
    </row>
  </sheetData>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budget and KPI tracker | clubpilot.au/resources&amp;RPage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Q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3" min="2" style="1" width="11"/>
    <col collapsed="false" customWidth="true" hidden="false" outlineLevel="0" max="16" min="14" style="1" width="13"/>
    <col collapsed="false" customWidth="true" hidden="false" outlineLevel="0" max="17" min="17" style="1" width="10"/>
  </cols>
  <sheetData>
    <row r="1" customFormat="false" ht="17.35" hidden="false" customHeight="false" outlineLevel="0" collapsed="false">
      <c r="A1" s="35" t="s">
        <v>98</v>
      </c>
    </row>
    <row r="2" customFormat="false" ht="24" hidden="false" customHeight="true" outlineLevel="0" collapsed="false">
      <c r="A2" s="16" t="s">
        <v>42</v>
      </c>
      <c r="B2" s="36" t="n">
        <f aca="false">EDATE(Setup!$B$5,0)</f>
        <v>46204</v>
      </c>
      <c r="C2" s="36" t="n">
        <f aca="false">EDATE(Setup!$B$5,1)</f>
        <v>46235</v>
      </c>
      <c r="D2" s="36" t="n">
        <f aca="false">EDATE(Setup!$B$5,2)</f>
        <v>46266</v>
      </c>
      <c r="E2" s="36" t="n">
        <f aca="false">EDATE(Setup!$B$5,3)</f>
        <v>46296</v>
      </c>
      <c r="F2" s="36" t="n">
        <f aca="false">EDATE(Setup!$B$5,4)</f>
        <v>46327</v>
      </c>
      <c r="G2" s="36" t="n">
        <f aca="false">EDATE(Setup!$B$5,5)</f>
        <v>46357</v>
      </c>
      <c r="H2" s="36" t="n">
        <f aca="false">EDATE(Setup!$B$5,6)</f>
        <v>46388</v>
      </c>
      <c r="I2" s="36" t="n">
        <f aca="false">EDATE(Setup!$B$5,7)</f>
        <v>46419</v>
      </c>
      <c r="J2" s="36" t="n">
        <f aca="false">EDATE(Setup!$B$5,8)</f>
        <v>46447</v>
      </c>
      <c r="K2" s="36" t="n">
        <f aca="false">EDATE(Setup!$B$5,9)</f>
        <v>46478</v>
      </c>
      <c r="L2" s="36" t="n">
        <f aca="false">EDATE(Setup!$B$5,10)</f>
        <v>46508</v>
      </c>
      <c r="M2" s="36" t="n">
        <f aca="false">EDATE(Setup!$B$5,11)</f>
        <v>46539</v>
      </c>
      <c r="N2" s="37" t="s">
        <v>99</v>
      </c>
      <c r="O2" s="37" t="s">
        <v>100</v>
      </c>
      <c r="P2" s="37" t="s">
        <v>101</v>
      </c>
      <c r="Q2" s="37" t="s">
        <v>102</v>
      </c>
    </row>
    <row r="3" customFormat="false" ht="15" hidden="false" customHeight="false" outlineLevel="0" collapsed="false">
      <c r="A3" s="38" t="s">
        <v>91</v>
      </c>
    </row>
    <row r="4" customFormat="false" ht="15" hidden="false" customHeight="false" outlineLevel="0" collapsed="false">
      <c r="A4" s="39" t="s">
        <v>48</v>
      </c>
      <c r="B4" s="17" t="n">
        <f aca="false">IF(Actuals!B$27=1,Actuals!B4-Budget!B4,"")</f>
        <v>-1732</v>
      </c>
      <c r="C4" s="17" t="n">
        <f aca="false">IF(Actuals!C$27=1,Actuals!C4-Budget!C4,"")</f>
        <v>-1084</v>
      </c>
      <c r="D4" s="17" t="n">
        <f aca="false">IF(Actuals!D$27=1,Actuals!D4-Budget!D4,"")</f>
        <v>-936</v>
      </c>
      <c r="E4" s="17" t="n">
        <f aca="false">IF(Actuals!E$27=1,Actuals!E4-Budget!E4,"")</f>
        <v>-88</v>
      </c>
      <c r="F4" s="17" t="str">
        <f aca="false">IF(Actuals!F$27=1,Actuals!F4-Budget!F4,"")</f>
        <v/>
      </c>
      <c r="G4" s="17" t="str">
        <f aca="false">IF(Actuals!G$27=1,Actuals!G4-Budget!G4,"")</f>
        <v/>
      </c>
      <c r="H4" s="17" t="str">
        <f aca="false">IF(Actuals!H$27=1,Actuals!H4-Budget!H4,"")</f>
        <v/>
      </c>
      <c r="I4" s="17" t="str">
        <f aca="false">IF(Actuals!I$27=1,Actuals!I4-Budget!I4,"")</f>
        <v/>
      </c>
      <c r="J4" s="17" t="str">
        <f aca="false">IF(Actuals!J$27=1,Actuals!J4-Budget!J4,"")</f>
        <v/>
      </c>
      <c r="K4" s="17" t="str">
        <f aca="false">IF(Actuals!K$27=1,Actuals!K4-Budget!K4,"")</f>
        <v/>
      </c>
      <c r="L4" s="17" t="str">
        <f aca="false">IF(Actuals!L$27=1,Actuals!L4-Budget!L4,"")</f>
        <v/>
      </c>
      <c r="M4" s="17" t="str">
        <f aca="false">IF(Actuals!M$27=1,Actuals!M4-Budget!M4,"")</f>
        <v/>
      </c>
      <c r="N4" s="44" t="n">
        <f aca="false">SUMPRODUCT(Budget!B4:M4,Actuals!$B$27:$M$27)</f>
        <v>185840</v>
      </c>
      <c r="O4" s="44" t="n">
        <f aca="false">SUMPRODUCT(Actuals!B4:M4,Actuals!$B$27:$M$27)</f>
        <v>182000</v>
      </c>
      <c r="P4" s="44" t="n">
        <f aca="false">O4-N4</f>
        <v>-3840</v>
      </c>
      <c r="Q4" s="45" t="n">
        <f aca="false">IF(N4=0,0,P4/N4)</f>
        <v>-0.0206629358588033</v>
      </c>
    </row>
    <row r="5" customFormat="false" ht="15" hidden="false" customHeight="false" outlineLevel="0" collapsed="false">
      <c r="A5" s="39" t="s">
        <v>49</v>
      </c>
      <c r="B5" s="17" t="n">
        <f aca="false">IF(Actuals!B$27=1,Actuals!B5-Budget!B5,"")</f>
        <v>-400</v>
      </c>
      <c r="C5" s="17" t="n">
        <f aca="false">IF(Actuals!C$27=1,Actuals!C5-Budget!C5,"")</f>
        <v>400</v>
      </c>
      <c r="D5" s="17" t="n">
        <f aca="false">IF(Actuals!D$27=1,Actuals!D5-Budget!D5,"")</f>
        <v>700</v>
      </c>
      <c r="E5" s="17" t="n">
        <f aca="false">IF(Actuals!E$27=1,Actuals!E5-Budget!E5,"")</f>
        <v>-100</v>
      </c>
      <c r="F5" s="17" t="str">
        <f aca="false">IF(Actuals!F$27=1,Actuals!F5-Budget!F5,"")</f>
        <v/>
      </c>
      <c r="G5" s="17" t="str">
        <f aca="false">IF(Actuals!G$27=1,Actuals!G5-Budget!G5,"")</f>
        <v/>
      </c>
      <c r="H5" s="17" t="str">
        <f aca="false">IF(Actuals!H$27=1,Actuals!H5-Budget!H5,"")</f>
        <v/>
      </c>
      <c r="I5" s="17" t="str">
        <f aca="false">IF(Actuals!I$27=1,Actuals!I5-Budget!I5,"")</f>
        <v/>
      </c>
      <c r="J5" s="17" t="str">
        <f aca="false">IF(Actuals!J$27=1,Actuals!J5-Budget!J5,"")</f>
        <v/>
      </c>
      <c r="K5" s="17" t="str">
        <f aca="false">IF(Actuals!K$27=1,Actuals!K5-Budget!K5,"")</f>
        <v/>
      </c>
      <c r="L5" s="17" t="str">
        <f aca="false">IF(Actuals!L$27=1,Actuals!L5-Budget!L5,"")</f>
        <v/>
      </c>
      <c r="M5" s="17" t="str">
        <f aca="false">IF(Actuals!M$27=1,Actuals!M5-Budget!M5,"")</f>
        <v/>
      </c>
      <c r="N5" s="44" t="n">
        <f aca="false">SUMPRODUCT(Budget!B5:M5,Actuals!$B$27:$M$27)</f>
        <v>26000</v>
      </c>
      <c r="O5" s="44" t="n">
        <f aca="false">SUMPRODUCT(Actuals!B5:M5,Actuals!$B$27:$M$27)</f>
        <v>26600</v>
      </c>
      <c r="P5" s="44" t="n">
        <f aca="false">O5-N5</f>
        <v>600</v>
      </c>
      <c r="Q5" s="45" t="n">
        <f aca="false">IF(N5=0,0,P5/N5)</f>
        <v>0.0230769230769231</v>
      </c>
    </row>
    <row r="6" customFormat="false" ht="15" hidden="false" customHeight="false" outlineLevel="0" collapsed="false">
      <c r="A6" s="39" t="s">
        <v>50</v>
      </c>
      <c r="B6" s="17" t="n">
        <f aca="false">IF(Actuals!B$27=1,Actuals!B6-Budget!B6,"")</f>
        <v>-150</v>
      </c>
      <c r="C6" s="17" t="n">
        <f aca="false">IF(Actuals!C$27=1,Actuals!C6-Budget!C6,"")</f>
        <v>-80</v>
      </c>
      <c r="D6" s="17" t="n">
        <f aca="false">IF(Actuals!D$27=1,Actuals!D6-Budget!D6,"")</f>
        <v>300</v>
      </c>
      <c r="E6" s="17" t="n">
        <f aca="false">IF(Actuals!E$27=1,Actuals!E6-Budget!E6,"")</f>
        <v>180</v>
      </c>
      <c r="F6" s="17" t="str">
        <f aca="false">IF(Actuals!F$27=1,Actuals!F6-Budget!F6,"")</f>
        <v/>
      </c>
      <c r="G6" s="17" t="str">
        <f aca="false">IF(Actuals!G$27=1,Actuals!G6-Budget!G6,"")</f>
        <v/>
      </c>
      <c r="H6" s="17" t="str">
        <f aca="false">IF(Actuals!H$27=1,Actuals!H6-Budget!H6,"")</f>
        <v/>
      </c>
      <c r="I6" s="17" t="str">
        <f aca="false">IF(Actuals!I$27=1,Actuals!I6-Budget!I6,"")</f>
        <v/>
      </c>
      <c r="J6" s="17" t="str">
        <f aca="false">IF(Actuals!J$27=1,Actuals!J6-Budget!J6,"")</f>
        <v/>
      </c>
      <c r="K6" s="17" t="str">
        <f aca="false">IF(Actuals!K$27=1,Actuals!K6-Budget!K6,"")</f>
        <v/>
      </c>
      <c r="L6" s="17" t="str">
        <f aca="false">IF(Actuals!L$27=1,Actuals!L6-Budget!L6,"")</f>
        <v/>
      </c>
      <c r="M6" s="17" t="str">
        <f aca="false">IF(Actuals!M$27=1,Actuals!M6-Budget!M6,"")</f>
        <v/>
      </c>
      <c r="N6" s="44" t="n">
        <f aca="false">SUMPRODUCT(Budget!B6:M6,Actuals!$B$27:$M$27)</f>
        <v>7200</v>
      </c>
      <c r="O6" s="44" t="n">
        <f aca="false">SUMPRODUCT(Actuals!B6:M6,Actuals!$B$27:$M$27)</f>
        <v>7450</v>
      </c>
      <c r="P6" s="44" t="n">
        <f aca="false">O6-N6</f>
        <v>250</v>
      </c>
      <c r="Q6" s="45" t="n">
        <f aca="false">IF(N6=0,0,P6/N6)</f>
        <v>0.0347222222222222</v>
      </c>
    </row>
    <row r="7" customFormat="false" ht="15" hidden="false" customHeight="false" outlineLevel="0" collapsed="false">
      <c r="A7" s="39" t="s">
        <v>51</v>
      </c>
      <c r="B7" s="17" t="n">
        <f aca="false">IF(Actuals!B$27=1,Actuals!B7-Budget!B7,"")</f>
        <v>-220</v>
      </c>
      <c r="C7" s="17" t="n">
        <f aca="false">IF(Actuals!C$27=1,Actuals!C7-Budget!C7,"")</f>
        <v>40</v>
      </c>
      <c r="D7" s="17" t="n">
        <f aca="false">IF(Actuals!D$27=1,Actuals!D7-Budget!D7,"")</f>
        <v>110</v>
      </c>
      <c r="E7" s="17" t="n">
        <f aca="false">IF(Actuals!E$27=1,Actuals!E7-Budget!E7,"")</f>
        <v>-50</v>
      </c>
      <c r="F7" s="17" t="str">
        <f aca="false">IF(Actuals!F$27=1,Actuals!F7-Budget!F7,"")</f>
        <v/>
      </c>
      <c r="G7" s="17" t="str">
        <f aca="false">IF(Actuals!G$27=1,Actuals!G7-Budget!G7,"")</f>
        <v/>
      </c>
      <c r="H7" s="17" t="str">
        <f aca="false">IF(Actuals!H$27=1,Actuals!H7-Budget!H7,"")</f>
        <v/>
      </c>
      <c r="I7" s="17" t="str">
        <f aca="false">IF(Actuals!I$27=1,Actuals!I7-Budget!I7,"")</f>
        <v/>
      </c>
      <c r="J7" s="17" t="str">
        <f aca="false">IF(Actuals!J$27=1,Actuals!J7-Budget!J7,"")</f>
        <v/>
      </c>
      <c r="K7" s="17" t="str">
        <f aca="false">IF(Actuals!K$27=1,Actuals!K7-Budget!K7,"")</f>
        <v/>
      </c>
      <c r="L7" s="17" t="str">
        <f aca="false">IF(Actuals!L$27=1,Actuals!L7-Budget!L7,"")</f>
        <v/>
      </c>
      <c r="M7" s="17" t="str">
        <f aca="false">IF(Actuals!M$27=1,Actuals!M7-Budget!M7,"")</f>
        <v/>
      </c>
      <c r="N7" s="44" t="n">
        <f aca="false">SUMPRODUCT(Budget!B7:M7,Actuals!$B$27:$M$27)</f>
        <v>4800</v>
      </c>
      <c r="O7" s="44" t="n">
        <f aca="false">SUMPRODUCT(Actuals!B7:M7,Actuals!$B$27:$M$27)</f>
        <v>4680</v>
      </c>
      <c r="P7" s="44" t="n">
        <f aca="false">O7-N7</f>
        <v>-120</v>
      </c>
      <c r="Q7" s="45" t="n">
        <f aca="false">IF(N7=0,0,P7/N7)</f>
        <v>-0.025</v>
      </c>
    </row>
    <row r="8" customFormat="false" ht="15" hidden="false" customHeight="false" outlineLevel="0" collapsed="false">
      <c r="A8" s="39" t="s">
        <v>52</v>
      </c>
      <c r="B8" s="17" t="n">
        <f aca="false">IF(Actuals!B$27=1,Actuals!B8-Budget!B8,"")</f>
        <v>-50</v>
      </c>
      <c r="C8" s="17" t="n">
        <f aca="false">IF(Actuals!C$27=1,Actuals!C8-Budget!C8,"")</f>
        <v>-300</v>
      </c>
      <c r="D8" s="17" t="n">
        <f aca="false">IF(Actuals!D$27=1,Actuals!D8-Budget!D8,"")</f>
        <v>120</v>
      </c>
      <c r="E8" s="17" t="n">
        <f aca="false">IF(Actuals!E$27=1,Actuals!E8-Budget!E8,"")</f>
        <v>0</v>
      </c>
      <c r="F8" s="17" t="str">
        <f aca="false">IF(Actuals!F$27=1,Actuals!F8-Budget!F8,"")</f>
        <v/>
      </c>
      <c r="G8" s="17" t="str">
        <f aca="false">IF(Actuals!G$27=1,Actuals!G8-Budget!G8,"")</f>
        <v/>
      </c>
      <c r="H8" s="17" t="str">
        <f aca="false">IF(Actuals!H$27=1,Actuals!H8-Budget!H8,"")</f>
        <v/>
      </c>
      <c r="I8" s="17" t="str">
        <f aca="false">IF(Actuals!I$27=1,Actuals!I8-Budget!I8,"")</f>
        <v/>
      </c>
      <c r="J8" s="17" t="str">
        <f aca="false">IF(Actuals!J$27=1,Actuals!J8-Budget!J8,"")</f>
        <v/>
      </c>
      <c r="K8" s="17" t="str">
        <f aca="false">IF(Actuals!K$27=1,Actuals!K8-Budget!K8,"")</f>
        <v/>
      </c>
      <c r="L8" s="17" t="str">
        <f aca="false">IF(Actuals!L$27=1,Actuals!L8-Budget!L8,"")</f>
        <v/>
      </c>
      <c r="M8" s="17" t="str">
        <f aca="false">IF(Actuals!M$27=1,Actuals!M8-Budget!M8,"")</f>
        <v/>
      </c>
      <c r="N8" s="44" t="n">
        <f aca="false">SUMPRODUCT(Budget!B8:M8,Actuals!$B$27:$M$27)</f>
        <v>1200</v>
      </c>
      <c r="O8" s="44" t="n">
        <f aca="false">SUMPRODUCT(Actuals!B8:M8,Actuals!$B$27:$M$27)</f>
        <v>970</v>
      </c>
      <c r="P8" s="44" t="n">
        <f aca="false">O8-N8</f>
        <v>-230</v>
      </c>
      <c r="Q8" s="45" t="n">
        <f aca="false">IF(N8=0,0,P8/N8)</f>
        <v>-0.191666666666667</v>
      </c>
    </row>
    <row r="9" customFormat="false" ht="15" hidden="false" customHeight="false" outlineLevel="0" collapsed="false">
      <c r="A9" s="14" t="s">
        <v>53</v>
      </c>
      <c r="B9" s="17" t="n">
        <f aca="false">IF(Actuals!B$27=1,Actuals!B9-Budget!B9,"")</f>
        <v>-2552</v>
      </c>
      <c r="C9" s="17" t="n">
        <f aca="false">IF(Actuals!C$27=1,Actuals!C9-Budget!C9,"")</f>
        <v>-1024</v>
      </c>
      <c r="D9" s="17" t="n">
        <f aca="false">IF(Actuals!D$27=1,Actuals!D9-Budget!D9,"")</f>
        <v>294</v>
      </c>
      <c r="E9" s="17" t="n">
        <f aca="false">IF(Actuals!E$27=1,Actuals!E9-Budget!E9,"")</f>
        <v>-58</v>
      </c>
      <c r="F9" s="17" t="str">
        <f aca="false">IF(Actuals!F$27=1,Actuals!F9-Budget!F9,"")</f>
        <v/>
      </c>
      <c r="G9" s="17" t="str">
        <f aca="false">IF(Actuals!G$27=1,Actuals!G9-Budget!G9,"")</f>
        <v/>
      </c>
      <c r="H9" s="17" t="str">
        <f aca="false">IF(Actuals!H$27=1,Actuals!H9-Budget!H9,"")</f>
        <v/>
      </c>
      <c r="I9" s="17" t="str">
        <f aca="false">IF(Actuals!I$27=1,Actuals!I9-Budget!I9,"")</f>
        <v/>
      </c>
      <c r="J9" s="17" t="str">
        <f aca="false">IF(Actuals!J$27=1,Actuals!J9-Budget!J9,"")</f>
        <v/>
      </c>
      <c r="K9" s="17" t="str">
        <f aca="false">IF(Actuals!K$27=1,Actuals!K9-Budget!K9,"")</f>
        <v/>
      </c>
      <c r="L9" s="17" t="str">
        <f aca="false">IF(Actuals!L$27=1,Actuals!L9-Budget!L9,"")</f>
        <v/>
      </c>
      <c r="M9" s="17" t="str">
        <f aca="false">IF(Actuals!M$27=1,Actuals!M9-Budget!M9,"")</f>
        <v/>
      </c>
      <c r="N9" s="44" t="n">
        <f aca="false">SUMPRODUCT(Budget!B9:M9,Actuals!$B$27:$M$27)</f>
        <v>225040</v>
      </c>
      <c r="O9" s="44" t="n">
        <f aca="false">SUMPRODUCT(Actuals!B9:M9,Actuals!$B$27:$M$27)</f>
        <v>221700</v>
      </c>
      <c r="P9" s="44" t="n">
        <f aca="false">O9-N9</f>
        <v>-3340</v>
      </c>
      <c r="Q9" s="45" t="n">
        <f aca="false">IF(N9=0,0,P9/N9)</f>
        <v>-0.0148418059011731</v>
      </c>
    </row>
    <row r="11" customFormat="false" ht="15" hidden="false" customHeight="false" outlineLevel="0" collapsed="false">
      <c r="A11" s="38" t="s">
        <v>92</v>
      </c>
    </row>
    <row r="12" customFormat="false" ht="15" hidden="false" customHeight="false" outlineLevel="0" collapsed="false">
      <c r="A12" s="39" t="s">
        <v>54</v>
      </c>
      <c r="B12" s="17" t="n">
        <f aca="false">IF(Actuals!B$27=1,Budget!B12-Actuals!B12,"")</f>
        <v>0</v>
      </c>
      <c r="C12" s="17" t="n">
        <f aca="false">IF(Actuals!C$27=1,Budget!C12-Actuals!C12,"")</f>
        <v>0</v>
      </c>
      <c r="D12" s="17" t="n">
        <f aca="false">IF(Actuals!D$27=1,Budget!D12-Actuals!D12,"")</f>
        <v>0</v>
      </c>
      <c r="E12" s="17" t="n">
        <f aca="false">IF(Actuals!E$27=1,Budget!E12-Actuals!E12,"")</f>
        <v>0</v>
      </c>
      <c r="F12" s="17" t="str">
        <f aca="false">IF(Actuals!F$27=1,Budget!F12-Actuals!F12,"")</f>
        <v/>
      </c>
      <c r="G12" s="17" t="str">
        <f aca="false">IF(Actuals!G$27=1,Budget!G12-Actuals!G12,"")</f>
        <v/>
      </c>
      <c r="H12" s="17" t="str">
        <f aca="false">IF(Actuals!H$27=1,Budget!H12-Actuals!H12,"")</f>
        <v/>
      </c>
      <c r="I12" s="17" t="str">
        <f aca="false">IF(Actuals!I$27=1,Budget!I12-Actuals!I12,"")</f>
        <v/>
      </c>
      <c r="J12" s="17" t="str">
        <f aca="false">IF(Actuals!J$27=1,Budget!J12-Actuals!J12,"")</f>
        <v/>
      </c>
      <c r="K12" s="17" t="str">
        <f aca="false">IF(Actuals!K$27=1,Budget!K12-Actuals!K12,"")</f>
        <v/>
      </c>
      <c r="L12" s="17" t="str">
        <f aca="false">IF(Actuals!L$27=1,Budget!L12-Actuals!L12,"")</f>
        <v/>
      </c>
      <c r="M12" s="17" t="str">
        <f aca="false">IF(Actuals!M$27=1,Budget!M12-Actuals!M12,"")</f>
        <v/>
      </c>
      <c r="N12" s="44" t="n">
        <f aca="false">SUMPRODUCT(Budget!B12:M12,Actuals!$B$27:$M$27)</f>
        <v>56000</v>
      </c>
      <c r="O12" s="44" t="n">
        <f aca="false">SUMPRODUCT(Actuals!B12:M12,Actuals!$B$27:$M$27)</f>
        <v>56000</v>
      </c>
      <c r="P12" s="44" t="n">
        <f aca="false">N12-O12</f>
        <v>0</v>
      </c>
      <c r="Q12" s="45" t="n">
        <f aca="false">IF(N12=0,0,P12/N12)</f>
        <v>0</v>
      </c>
    </row>
    <row r="13" customFormat="false" ht="15" hidden="false" customHeight="false" outlineLevel="0" collapsed="false">
      <c r="A13" s="39" t="s">
        <v>55</v>
      </c>
      <c r="B13" s="17" t="n">
        <f aca="false">IF(Actuals!B$27=1,Budget!B13-Actuals!B13,"")</f>
        <v>-400</v>
      </c>
      <c r="C13" s="17" t="n">
        <f aca="false">IF(Actuals!C$27=1,Budget!C13-Actuals!C13,"")</f>
        <v>200</v>
      </c>
      <c r="D13" s="17" t="n">
        <f aca="false">IF(Actuals!D$27=1,Budget!D13-Actuals!D13,"")</f>
        <v>-1300</v>
      </c>
      <c r="E13" s="17" t="n">
        <f aca="false">IF(Actuals!E$27=1,Budget!E13-Actuals!E13,"")</f>
        <v>-900</v>
      </c>
      <c r="F13" s="17" t="str">
        <f aca="false">IF(Actuals!F$27=1,Budget!F13-Actuals!F13,"")</f>
        <v/>
      </c>
      <c r="G13" s="17" t="str">
        <f aca="false">IF(Actuals!G$27=1,Budget!G13-Actuals!G13,"")</f>
        <v/>
      </c>
      <c r="H13" s="17" t="str">
        <f aca="false">IF(Actuals!H$27=1,Budget!H13-Actuals!H13,"")</f>
        <v/>
      </c>
      <c r="I13" s="17" t="str">
        <f aca="false">IF(Actuals!I$27=1,Budget!I13-Actuals!I13,"")</f>
        <v/>
      </c>
      <c r="J13" s="17" t="str">
        <f aca="false">IF(Actuals!J$27=1,Budget!J13-Actuals!J13,"")</f>
        <v/>
      </c>
      <c r="K13" s="17" t="str">
        <f aca="false">IF(Actuals!K$27=1,Budget!K13-Actuals!K13,"")</f>
        <v/>
      </c>
      <c r="L13" s="17" t="str">
        <f aca="false">IF(Actuals!L$27=1,Budget!L13-Actuals!L13,"")</f>
        <v/>
      </c>
      <c r="M13" s="17" t="str">
        <f aca="false">IF(Actuals!M$27=1,Budget!M13-Actuals!M13,"")</f>
        <v/>
      </c>
      <c r="N13" s="44" t="n">
        <f aca="false">SUMPRODUCT(Budget!B13:M13,Actuals!$B$27:$M$27)</f>
        <v>84000</v>
      </c>
      <c r="O13" s="44" t="n">
        <f aca="false">SUMPRODUCT(Actuals!B13:M13,Actuals!$B$27:$M$27)</f>
        <v>86400</v>
      </c>
      <c r="P13" s="44" t="n">
        <f aca="false">N13-O13</f>
        <v>-2400</v>
      </c>
      <c r="Q13" s="45" t="n">
        <f aca="false">IF(N13=0,0,P13/N13)</f>
        <v>-0.0285714285714286</v>
      </c>
    </row>
    <row r="14" customFormat="false" ht="15" hidden="false" customHeight="false" outlineLevel="0" collapsed="false">
      <c r="A14" s="39" t="s">
        <v>56</v>
      </c>
      <c r="B14" s="17" t="n">
        <f aca="false">IF(Actuals!B$27=1,Budget!B14-Actuals!B14,"")</f>
        <v>-48</v>
      </c>
      <c r="C14" s="17" t="n">
        <f aca="false">IF(Actuals!C$27=1,Budget!C14-Actuals!C14,"")</f>
        <v>24</v>
      </c>
      <c r="D14" s="17" t="n">
        <f aca="false">IF(Actuals!D$27=1,Budget!D14-Actuals!D14,"")</f>
        <v>-156</v>
      </c>
      <c r="E14" s="17" t="n">
        <f aca="false">IF(Actuals!E$27=1,Budget!E14-Actuals!E14,"")</f>
        <v>-108</v>
      </c>
      <c r="F14" s="17" t="str">
        <f aca="false">IF(Actuals!F$27=1,Budget!F14-Actuals!F14,"")</f>
        <v/>
      </c>
      <c r="G14" s="17" t="str">
        <f aca="false">IF(Actuals!G$27=1,Budget!G14-Actuals!G14,"")</f>
        <v/>
      </c>
      <c r="H14" s="17" t="str">
        <f aca="false">IF(Actuals!H$27=1,Budget!H14-Actuals!H14,"")</f>
        <v/>
      </c>
      <c r="I14" s="17" t="str">
        <f aca="false">IF(Actuals!I$27=1,Budget!I14-Actuals!I14,"")</f>
        <v/>
      </c>
      <c r="J14" s="17" t="str">
        <f aca="false">IF(Actuals!J$27=1,Budget!J14-Actuals!J14,"")</f>
        <v/>
      </c>
      <c r="K14" s="17" t="str">
        <f aca="false">IF(Actuals!K$27=1,Budget!K14-Actuals!K14,"")</f>
        <v/>
      </c>
      <c r="L14" s="17" t="str">
        <f aca="false">IF(Actuals!L$27=1,Budget!L14-Actuals!L14,"")</f>
        <v/>
      </c>
      <c r="M14" s="17" t="str">
        <f aca="false">IF(Actuals!M$27=1,Budget!M14-Actuals!M14,"")</f>
        <v/>
      </c>
      <c r="N14" s="44" t="n">
        <f aca="false">SUMPRODUCT(Budget!B14:M14,Actuals!$B$27:$M$27)</f>
        <v>10080</v>
      </c>
      <c r="O14" s="44" t="n">
        <f aca="false">SUMPRODUCT(Actuals!B14:M14,Actuals!$B$27:$M$27)</f>
        <v>10368</v>
      </c>
      <c r="P14" s="44" t="n">
        <f aca="false">N14-O14</f>
        <v>-288</v>
      </c>
      <c r="Q14" s="45" t="n">
        <f aca="false">IF(N14=0,0,P14/N14)</f>
        <v>-0.0285714285714286</v>
      </c>
    </row>
    <row r="15" customFormat="false" ht="15" hidden="false" customHeight="false" outlineLevel="0" collapsed="false">
      <c r="A15" s="39" t="s">
        <v>57</v>
      </c>
      <c r="B15" s="17" t="n">
        <f aca="false">IF(Actuals!B$27=1,Budget!B15-Actuals!B15,"")</f>
        <v>0</v>
      </c>
      <c r="C15" s="17" t="n">
        <f aca="false">IF(Actuals!C$27=1,Budget!C15-Actuals!C15,"")</f>
        <v>-1350</v>
      </c>
      <c r="D15" s="17" t="n">
        <f aca="false">IF(Actuals!D$27=1,Budget!D15-Actuals!D15,"")</f>
        <v>0</v>
      </c>
      <c r="E15" s="17" t="n">
        <f aca="false">IF(Actuals!E$27=1,Budget!E15-Actuals!E15,"")</f>
        <v>-620</v>
      </c>
      <c r="F15" s="17" t="str">
        <f aca="false">IF(Actuals!F$27=1,Budget!F15-Actuals!F15,"")</f>
        <v/>
      </c>
      <c r="G15" s="17" t="str">
        <f aca="false">IF(Actuals!G$27=1,Budget!G15-Actuals!G15,"")</f>
        <v/>
      </c>
      <c r="H15" s="17" t="str">
        <f aca="false">IF(Actuals!H$27=1,Budget!H15-Actuals!H15,"")</f>
        <v/>
      </c>
      <c r="I15" s="17" t="str">
        <f aca="false">IF(Actuals!I$27=1,Budget!I15-Actuals!I15,"")</f>
        <v/>
      </c>
      <c r="J15" s="17" t="str">
        <f aca="false">IF(Actuals!J$27=1,Budget!J15-Actuals!J15,"")</f>
        <v/>
      </c>
      <c r="K15" s="17" t="str">
        <f aca="false">IF(Actuals!K$27=1,Budget!K15-Actuals!K15,"")</f>
        <v/>
      </c>
      <c r="L15" s="17" t="str">
        <f aca="false">IF(Actuals!L$27=1,Budget!L15-Actuals!L15,"")</f>
        <v/>
      </c>
      <c r="M15" s="17" t="str">
        <f aca="false">IF(Actuals!M$27=1,Budget!M15-Actuals!M15,"")</f>
        <v/>
      </c>
      <c r="N15" s="44" t="n">
        <f aca="false">SUMPRODUCT(Budget!B15:M15,Actuals!$B$27:$M$27)</f>
        <v>15200</v>
      </c>
      <c r="O15" s="44" t="n">
        <f aca="false">SUMPRODUCT(Actuals!B15:M15,Actuals!$B$27:$M$27)</f>
        <v>17170</v>
      </c>
      <c r="P15" s="44" t="n">
        <f aca="false">N15-O15</f>
        <v>-1970</v>
      </c>
      <c r="Q15" s="45" t="n">
        <f aca="false">IF(N15=0,0,P15/N15)</f>
        <v>-0.129605263157895</v>
      </c>
    </row>
    <row r="16" customFormat="false" ht="15" hidden="false" customHeight="false" outlineLevel="0" collapsed="false">
      <c r="A16" s="39" t="s">
        <v>58</v>
      </c>
      <c r="B16" s="17" t="n">
        <f aca="false">IF(Actuals!B$27=1,Budget!B16-Actuals!B16,"")</f>
        <v>0</v>
      </c>
      <c r="C16" s="17" t="n">
        <f aca="false">IF(Actuals!C$27=1,Budget!C16-Actuals!C16,"")</f>
        <v>0</v>
      </c>
      <c r="D16" s="17" t="n">
        <f aca="false">IF(Actuals!D$27=1,Budget!D16-Actuals!D16,"")</f>
        <v>-150</v>
      </c>
      <c r="E16" s="17" t="n">
        <f aca="false">IF(Actuals!E$27=1,Budget!E16-Actuals!E16,"")</f>
        <v>0</v>
      </c>
      <c r="F16" s="17" t="str">
        <f aca="false">IF(Actuals!F$27=1,Budget!F16-Actuals!F16,"")</f>
        <v/>
      </c>
      <c r="G16" s="17" t="str">
        <f aca="false">IF(Actuals!G$27=1,Budget!G16-Actuals!G16,"")</f>
        <v/>
      </c>
      <c r="H16" s="17" t="str">
        <f aca="false">IF(Actuals!H$27=1,Budget!H16-Actuals!H16,"")</f>
        <v/>
      </c>
      <c r="I16" s="17" t="str">
        <f aca="false">IF(Actuals!I$27=1,Budget!I16-Actuals!I16,"")</f>
        <v/>
      </c>
      <c r="J16" s="17" t="str">
        <f aca="false">IF(Actuals!J$27=1,Budget!J16-Actuals!J16,"")</f>
        <v/>
      </c>
      <c r="K16" s="17" t="str">
        <f aca="false">IF(Actuals!K$27=1,Budget!K16-Actuals!K16,"")</f>
        <v/>
      </c>
      <c r="L16" s="17" t="str">
        <f aca="false">IF(Actuals!L$27=1,Budget!L16-Actuals!L16,"")</f>
        <v/>
      </c>
      <c r="M16" s="17" t="str">
        <f aca="false">IF(Actuals!M$27=1,Budget!M16-Actuals!M16,"")</f>
        <v/>
      </c>
      <c r="N16" s="44" t="n">
        <f aca="false">SUMPRODUCT(Budget!B16:M16,Actuals!$B$27:$M$27)</f>
        <v>8800</v>
      </c>
      <c r="O16" s="44" t="n">
        <f aca="false">SUMPRODUCT(Actuals!B16:M16,Actuals!$B$27:$M$27)</f>
        <v>8950</v>
      </c>
      <c r="P16" s="44" t="n">
        <f aca="false">N16-O16</f>
        <v>-150</v>
      </c>
      <c r="Q16" s="45" t="n">
        <f aca="false">IF(N16=0,0,P16/N16)</f>
        <v>-0.0170454545454545</v>
      </c>
    </row>
    <row r="17" customFormat="false" ht="15" hidden="false" customHeight="false" outlineLevel="0" collapsed="false">
      <c r="A17" s="39" t="s">
        <v>59</v>
      </c>
      <c r="B17" s="17" t="n">
        <f aca="false">IF(Actuals!B$27=1,Budget!B17-Actuals!B17,"")</f>
        <v>100</v>
      </c>
      <c r="C17" s="17" t="n">
        <f aca="false">IF(Actuals!C$27=1,Budget!C17-Actuals!C17,"")</f>
        <v>-600</v>
      </c>
      <c r="D17" s="17" t="n">
        <f aca="false">IF(Actuals!D$27=1,Budget!D17-Actuals!D17,"")</f>
        <v>-150</v>
      </c>
      <c r="E17" s="17" t="n">
        <f aca="false">IF(Actuals!E$27=1,Budget!E17-Actuals!E17,"")</f>
        <v>300</v>
      </c>
      <c r="F17" s="17" t="str">
        <f aca="false">IF(Actuals!F$27=1,Budget!F17-Actuals!F17,"")</f>
        <v/>
      </c>
      <c r="G17" s="17" t="str">
        <f aca="false">IF(Actuals!G$27=1,Budget!G17-Actuals!G17,"")</f>
        <v/>
      </c>
      <c r="H17" s="17" t="str">
        <f aca="false">IF(Actuals!H$27=1,Budget!H17-Actuals!H17,"")</f>
        <v/>
      </c>
      <c r="I17" s="17" t="str">
        <f aca="false">IF(Actuals!I$27=1,Budget!I17-Actuals!I17,"")</f>
        <v/>
      </c>
      <c r="J17" s="17" t="str">
        <f aca="false">IF(Actuals!J$27=1,Budget!J17-Actuals!J17,"")</f>
        <v/>
      </c>
      <c r="K17" s="17" t="str">
        <f aca="false">IF(Actuals!K$27=1,Budget!K17-Actuals!K17,"")</f>
        <v/>
      </c>
      <c r="L17" s="17" t="str">
        <f aca="false">IF(Actuals!L$27=1,Budget!L17-Actuals!L17,"")</f>
        <v/>
      </c>
      <c r="M17" s="17" t="str">
        <f aca="false">IF(Actuals!M$27=1,Budget!M17-Actuals!M17,"")</f>
        <v/>
      </c>
      <c r="N17" s="44" t="n">
        <f aca="false">SUMPRODUCT(Budget!B17:M17,Actuals!$B$27:$M$27)</f>
        <v>10000</v>
      </c>
      <c r="O17" s="44" t="n">
        <f aca="false">SUMPRODUCT(Actuals!B17:M17,Actuals!$B$27:$M$27)</f>
        <v>10350</v>
      </c>
      <c r="P17" s="44" t="n">
        <f aca="false">N17-O17</f>
        <v>-350</v>
      </c>
      <c r="Q17" s="45" t="n">
        <f aca="false">IF(N17=0,0,P17/N17)</f>
        <v>-0.035</v>
      </c>
    </row>
    <row r="18" customFormat="false" ht="15" hidden="false" customHeight="false" outlineLevel="0" collapsed="false">
      <c r="A18" s="39" t="s">
        <v>60</v>
      </c>
      <c r="B18" s="17" t="n">
        <f aca="false">IF(Actuals!B$27=1,Budget!B18-Actuals!B18,"")</f>
        <v>150</v>
      </c>
      <c r="C18" s="17" t="n">
        <f aca="false">IF(Actuals!C$27=1,Budget!C18-Actuals!C18,"")</f>
        <v>300</v>
      </c>
      <c r="D18" s="17" t="n">
        <f aca="false">IF(Actuals!D$27=1,Budget!D18-Actuals!D18,"")</f>
        <v>-200</v>
      </c>
      <c r="E18" s="17" t="n">
        <f aca="false">IF(Actuals!E$27=1,Budget!E18-Actuals!E18,"")</f>
        <v>-350</v>
      </c>
      <c r="F18" s="17" t="str">
        <f aca="false">IF(Actuals!F$27=1,Budget!F18-Actuals!F18,"")</f>
        <v/>
      </c>
      <c r="G18" s="17" t="str">
        <f aca="false">IF(Actuals!G$27=1,Budget!G18-Actuals!G18,"")</f>
        <v/>
      </c>
      <c r="H18" s="17" t="str">
        <f aca="false">IF(Actuals!H$27=1,Budget!H18-Actuals!H18,"")</f>
        <v/>
      </c>
      <c r="I18" s="17" t="str">
        <f aca="false">IF(Actuals!I$27=1,Budget!I18-Actuals!I18,"")</f>
        <v/>
      </c>
      <c r="J18" s="17" t="str">
        <f aca="false">IF(Actuals!J$27=1,Budget!J18-Actuals!J18,"")</f>
        <v/>
      </c>
      <c r="K18" s="17" t="str">
        <f aca="false">IF(Actuals!K$27=1,Budget!K18-Actuals!K18,"")</f>
        <v/>
      </c>
      <c r="L18" s="17" t="str">
        <f aca="false">IF(Actuals!L$27=1,Budget!L18-Actuals!L18,"")</f>
        <v/>
      </c>
      <c r="M18" s="17" t="str">
        <f aca="false">IF(Actuals!M$27=1,Budget!M18-Actuals!M18,"")</f>
        <v/>
      </c>
      <c r="N18" s="44" t="n">
        <f aca="false">SUMPRODUCT(Budget!B18:M18,Actuals!$B$27:$M$27)</f>
        <v>12400</v>
      </c>
      <c r="O18" s="44" t="n">
        <f aca="false">SUMPRODUCT(Actuals!B18:M18,Actuals!$B$27:$M$27)</f>
        <v>12500</v>
      </c>
      <c r="P18" s="44" t="n">
        <f aca="false">N18-O18</f>
        <v>-100</v>
      </c>
      <c r="Q18" s="45" t="n">
        <f aca="false">IF(N18=0,0,P18/N18)</f>
        <v>-0.00806451612903226</v>
      </c>
    </row>
    <row r="19" customFormat="false" ht="15" hidden="false" customHeight="false" outlineLevel="0" collapsed="false">
      <c r="A19" s="39" t="s">
        <v>61</v>
      </c>
      <c r="B19" s="17" t="n">
        <f aca="false">IF(Actuals!B$27=1,Budget!B19-Actuals!B19,"")</f>
        <v>0</v>
      </c>
      <c r="C19" s="17" t="n">
        <f aca="false">IF(Actuals!C$27=1,Budget!C19-Actuals!C19,"")</f>
        <v>0</v>
      </c>
      <c r="D19" s="17" t="n">
        <f aca="false">IF(Actuals!D$27=1,Budget!D19-Actuals!D19,"")</f>
        <v>0</v>
      </c>
      <c r="E19" s="17" t="n">
        <f aca="false">IF(Actuals!E$27=1,Budget!E19-Actuals!E19,"")</f>
        <v>-60</v>
      </c>
      <c r="F19" s="17" t="str">
        <f aca="false">IF(Actuals!F$27=1,Budget!F19-Actuals!F19,"")</f>
        <v/>
      </c>
      <c r="G19" s="17" t="str">
        <f aca="false">IF(Actuals!G$27=1,Budget!G19-Actuals!G19,"")</f>
        <v/>
      </c>
      <c r="H19" s="17" t="str">
        <f aca="false">IF(Actuals!H$27=1,Budget!H19-Actuals!H19,"")</f>
        <v/>
      </c>
      <c r="I19" s="17" t="str">
        <f aca="false">IF(Actuals!I$27=1,Budget!I19-Actuals!I19,"")</f>
        <v/>
      </c>
      <c r="J19" s="17" t="str">
        <f aca="false">IF(Actuals!J$27=1,Budget!J19-Actuals!J19,"")</f>
        <v/>
      </c>
      <c r="K19" s="17" t="str">
        <f aca="false">IF(Actuals!K$27=1,Budget!K19-Actuals!K19,"")</f>
        <v/>
      </c>
      <c r="L19" s="17" t="str">
        <f aca="false">IF(Actuals!L$27=1,Budget!L19-Actuals!L19,"")</f>
        <v/>
      </c>
      <c r="M19" s="17" t="str">
        <f aca="false">IF(Actuals!M$27=1,Budget!M19-Actuals!M19,"")</f>
        <v/>
      </c>
      <c r="N19" s="44" t="n">
        <f aca="false">SUMPRODUCT(Budget!B19:M19,Actuals!$B$27:$M$27)</f>
        <v>3600</v>
      </c>
      <c r="O19" s="44" t="n">
        <f aca="false">SUMPRODUCT(Actuals!B19:M19,Actuals!$B$27:$M$27)</f>
        <v>3660</v>
      </c>
      <c r="P19" s="44" t="n">
        <f aca="false">N19-O19</f>
        <v>-60</v>
      </c>
      <c r="Q19" s="45" t="n">
        <f aca="false">IF(N19=0,0,P19/N19)</f>
        <v>-0.0166666666666667</v>
      </c>
    </row>
    <row r="20" customFormat="false" ht="15" hidden="false" customHeight="false" outlineLevel="0" collapsed="false">
      <c r="A20" s="39" t="s">
        <v>62</v>
      </c>
      <c r="B20" s="17" t="n">
        <f aca="false">IF(Actuals!B$27=1,Budget!B20-Actuals!B20,"")</f>
        <v>0</v>
      </c>
      <c r="C20" s="17" t="n">
        <f aca="false">IF(Actuals!C$27=1,Budget!C20-Actuals!C20,"")</f>
        <v>0</v>
      </c>
      <c r="D20" s="17" t="n">
        <f aca="false">IF(Actuals!D$27=1,Budget!D20-Actuals!D20,"")</f>
        <v>0</v>
      </c>
      <c r="E20" s="17" t="n">
        <f aca="false">IF(Actuals!E$27=1,Budget!E20-Actuals!E20,"")</f>
        <v>0</v>
      </c>
      <c r="F20" s="17" t="str">
        <f aca="false">IF(Actuals!F$27=1,Budget!F20-Actuals!F20,"")</f>
        <v/>
      </c>
      <c r="G20" s="17" t="str">
        <f aca="false">IF(Actuals!G$27=1,Budget!G20-Actuals!G20,"")</f>
        <v/>
      </c>
      <c r="H20" s="17" t="str">
        <f aca="false">IF(Actuals!H$27=1,Budget!H20-Actuals!H20,"")</f>
        <v/>
      </c>
      <c r="I20" s="17" t="str">
        <f aca="false">IF(Actuals!I$27=1,Budget!I20-Actuals!I20,"")</f>
        <v/>
      </c>
      <c r="J20" s="17" t="str">
        <f aca="false">IF(Actuals!J$27=1,Budget!J20-Actuals!J20,"")</f>
        <v/>
      </c>
      <c r="K20" s="17" t="str">
        <f aca="false">IF(Actuals!K$27=1,Budget!K20-Actuals!K20,"")</f>
        <v/>
      </c>
      <c r="L20" s="17" t="str">
        <f aca="false">IF(Actuals!L$27=1,Budget!L20-Actuals!L20,"")</f>
        <v/>
      </c>
      <c r="M20" s="17" t="str">
        <f aca="false">IF(Actuals!M$27=1,Budget!M20-Actuals!M20,"")</f>
        <v/>
      </c>
      <c r="N20" s="44" t="n">
        <f aca="false">SUMPRODUCT(Budget!B20:M20,Actuals!$B$27:$M$27)</f>
        <v>2800</v>
      </c>
      <c r="O20" s="44" t="n">
        <f aca="false">SUMPRODUCT(Actuals!B20:M20,Actuals!$B$27:$M$27)</f>
        <v>2800</v>
      </c>
      <c r="P20" s="44" t="n">
        <f aca="false">N20-O20</f>
        <v>0</v>
      </c>
      <c r="Q20" s="45" t="n">
        <f aca="false">IF(N20=0,0,P20/N20)</f>
        <v>0</v>
      </c>
    </row>
    <row r="21" customFormat="false" ht="15" hidden="false" customHeight="false" outlineLevel="0" collapsed="false">
      <c r="A21" s="39" t="s">
        <v>63</v>
      </c>
      <c r="B21" s="17" t="n">
        <f aca="false">IF(Actuals!B$27=1,Budget!B21-Actuals!B21,"")</f>
        <v>180</v>
      </c>
      <c r="C21" s="17" t="n">
        <f aca="false">IF(Actuals!C$27=1,Budget!C21-Actuals!C21,"")</f>
        <v>-110</v>
      </c>
      <c r="D21" s="17" t="n">
        <f aca="false">IF(Actuals!D$27=1,Budget!D21-Actuals!D21,"")</f>
        <v>260</v>
      </c>
      <c r="E21" s="17" t="n">
        <f aca="false">IF(Actuals!E$27=1,Budget!E21-Actuals!E21,"")</f>
        <v>40</v>
      </c>
      <c r="F21" s="17" t="str">
        <f aca="false">IF(Actuals!F$27=1,Budget!F21-Actuals!F21,"")</f>
        <v/>
      </c>
      <c r="G21" s="17" t="str">
        <f aca="false">IF(Actuals!G$27=1,Budget!G21-Actuals!G21,"")</f>
        <v/>
      </c>
      <c r="H21" s="17" t="str">
        <f aca="false">IF(Actuals!H$27=1,Budget!H21-Actuals!H21,"")</f>
        <v/>
      </c>
      <c r="I21" s="17" t="str">
        <f aca="false">IF(Actuals!I$27=1,Budget!I21-Actuals!I21,"")</f>
        <v/>
      </c>
      <c r="J21" s="17" t="str">
        <f aca="false">IF(Actuals!J$27=1,Budget!J21-Actuals!J21,"")</f>
        <v/>
      </c>
      <c r="K21" s="17" t="str">
        <f aca="false">IF(Actuals!K$27=1,Budget!K21-Actuals!K21,"")</f>
        <v/>
      </c>
      <c r="L21" s="17" t="str">
        <f aca="false">IF(Actuals!L$27=1,Budget!L21-Actuals!L21,"")</f>
        <v/>
      </c>
      <c r="M21" s="17" t="str">
        <f aca="false">IF(Actuals!M$27=1,Budget!M21-Actuals!M21,"")</f>
        <v/>
      </c>
      <c r="N21" s="44" t="n">
        <f aca="false">SUMPRODUCT(Budget!B21:M21,Actuals!$B$27:$M$27)</f>
        <v>3200</v>
      </c>
      <c r="O21" s="44" t="n">
        <f aca="false">SUMPRODUCT(Actuals!B21:M21,Actuals!$B$27:$M$27)</f>
        <v>2830</v>
      </c>
      <c r="P21" s="44" t="n">
        <f aca="false">N21-O21</f>
        <v>370</v>
      </c>
      <c r="Q21" s="45" t="n">
        <f aca="false">IF(N21=0,0,P21/N21)</f>
        <v>0.115625</v>
      </c>
    </row>
    <row r="22" customFormat="false" ht="15" hidden="false" customHeight="false" outlineLevel="0" collapsed="false">
      <c r="A22" s="14" t="s">
        <v>64</v>
      </c>
      <c r="B22" s="17" t="n">
        <f aca="false">IF(Actuals!B$27=1,Budget!B22-Actuals!B22,"")</f>
        <v>-18</v>
      </c>
      <c r="C22" s="17" t="n">
        <f aca="false">IF(Actuals!C$27=1,Budget!C22-Actuals!C22,"")</f>
        <v>-1536</v>
      </c>
      <c r="D22" s="17" t="n">
        <f aca="false">IF(Actuals!D$27=1,Budget!D22-Actuals!D22,"")</f>
        <v>-1696</v>
      </c>
      <c r="E22" s="17" t="n">
        <f aca="false">IF(Actuals!E$27=1,Budget!E22-Actuals!E22,"")</f>
        <v>-1698</v>
      </c>
      <c r="F22" s="17" t="str">
        <f aca="false">IF(Actuals!F$27=1,Budget!F22-Actuals!F22,"")</f>
        <v/>
      </c>
      <c r="G22" s="17" t="str">
        <f aca="false">IF(Actuals!G$27=1,Budget!G22-Actuals!G22,"")</f>
        <v/>
      </c>
      <c r="H22" s="17" t="str">
        <f aca="false">IF(Actuals!H$27=1,Budget!H22-Actuals!H22,"")</f>
        <v/>
      </c>
      <c r="I22" s="17" t="str">
        <f aca="false">IF(Actuals!I$27=1,Budget!I22-Actuals!I22,"")</f>
        <v/>
      </c>
      <c r="J22" s="17" t="str">
        <f aca="false">IF(Actuals!J$27=1,Budget!J22-Actuals!J22,"")</f>
        <v/>
      </c>
      <c r="K22" s="17" t="str">
        <f aca="false">IF(Actuals!K$27=1,Budget!K22-Actuals!K22,"")</f>
        <v/>
      </c>
      <c r="L22" s="17" t="str">
        <f aca="false">IF(Actuals!L$27=1,Budget!L22-Actuals!L22,"")</f>
        <v/>
      </c>
      <c r="M22" s="17" t="str">
        <f aca="false">IF(Actuals!M$27=1,Budget!M22-Actuals!M22,"")</f>
        <v/>
      </c>
      <c r="N22" s="44" t="n">
        <f aca="false">SUMPRODUCT(Budget!B22:M22,Actuals!$B$27:$M$27)</f>
        <v>206080</v>
      </c>
      <c r="O22" s="44" t="n">
        <f aca="false">SUMPRODUCT(Actuals!B22:M22,Actuals!$B$27:$M$27)</f>
        <v>211028</v>
      </c>
      <c r="P22" s="44" t="n">
        <f aca="false">N22-O22</f>
        <v>-4948</v>
      </c>
      <c r="Q22" s="45" t="n">
        <f aca="false">IF(N22=0,0,P22/N22)</f>
        <v>-0.0240100931677019</v>
      </c>
    </row>
    <row r="23" customFormat="false" ht="15" hidden="false" customHeight="false" outlineLevel="0" collapsed="false">
      <c r="A23" s="38"/>
    </row>
    <row r="24" customFormat="false" ht="15" hidden="false" customHeight="false" outlineLevel="0" collapsed="false">
      <c r="A24" s="14" t="s">
        <v>65</v>
      </c>
      <c r="B24" s="17" t="n">
        <f aca="false">IF(Actuals!B$27=1,Actuals!B24-Budget!B24,"")</f>
        <v>-2570</v>
      </c>
      <c r="C24" s="17" t="n">
        <f aca="false">IF(Actuals!C$27=1,Actuals!C24-Budget!C24,"")</f>
        <v>-2560</v>
      </c>
      <c r="D24" s="17" t="n">
        <f aca="false">IF(Actuals!D$27=1,Actuals!D24-Budget!D24,"")</f>
        <v>-1402</v>
      </c>
      <c r="E24" s="17" t="n">
        <f aca="false">IF(Actuals!E$27=1,Actuals!E24-Budget!E24,"")</f>
        <v>-1756</v>
      </c>
      <c r="F24" s="17" t="str">
        <f aca="false">IF(Actuals!F$27=1,Actuals!F24-Budget!F24,"")</f>
        <v/>
      </c>
      <c r="G24" s="17" t="str">
        <f aca="false">IF(Actuals!G$27=1,Actuals!G24-Budget!G24,"")</f>
        <v/>
      </c>
      <c r="H24" s="17" t="str">
        <f aca="false">IF(Actuals!H$27=1,Actuals!H24-Budget!H24,"")</f>
        <v/>
      </c>
      <c r="I24" s="17" t="str">
        <f aca="false">IF(Actuals!I$27=1,Actuals!I24-Budget!I24,"")</f>
        <v/>
      </c>
      <c r="J24" s="17" t="str">
        <f aca="false">IF(Actuals!J$27=1,Actuals!J24-Budget!J24,"")</f>
        <v/>
      </c>
      <c r="K24" s="17" t="str">
        <f aca="false">IF(Actuals!K$27=1,Actuals!K24-Budget!K24,"")</f>
        <v/>
      </c>
      <c r="L24" s="17" t="str">
        <f aca="false">IF(Actuals!L$27=1,Actuals!L24-Budget!L24,"")</f>
        <v/>
      </c>
      <c r="M24" s="17" t="str">
        <f aca="false">IF(Actuals!M$27=1,Actuals!M24-Budget!M24,"")</f>
        <v/>
      </c>
      <c r="N24" s="44" t="n">
        <f aca="false">SUMPRODUCT(Budget!B24:M24,Actuals!$B$27:$M$27)</f>
        <v>18960</v>
      </c>
      <c r="O24" s="44" t="n">
        <f aca="false">SUMPRODUCT(Actuals!B24:M24,Actuals!$B$27:$M$27)</f>
        <v>10672</v>
      </c>
      <c r="P24" s="44" t="n">
        <f aca="false">O24-N24</f>
        <v>-8288</v>
      </c>
      <c r="Q24" s="45" t="n">
        <f aca="false">IF(N24=0,0,P24/N24)</f>
        <v>-0.437130801687764</v>
      </c>
    </row>
    <row r="25" customFormat="false" ht="15" hidden="false" customHeight="false" outlineLevel="0" collapsed="false">
      <c r="A25" s="39" t="s">
        <v>93</v>
      </c>
    </row>
  </sheetData>
  <conditionalFormatting sqref="B3:M26">
    <cfRule type="expression" priority="2" aboveAverage="0" equalAverage="0" bottom="0" percent="0" rank="0" text="" dxfId="2">
      <formula>AND(ISNUMBER(B3),B3&lt;0)</formula>
    </cfRule>
  </conditionalFormatting>
  <conditionalFormatting sqref="P3:Q26">
    <cfRule type="expression" priority="3" aboveAverage="0" equalAverage="0" bottom="0" percent="0" rank="0" text="" dxfId="0">
      <formula>AND(ISNUMBER(P3),P3&lt;0)</formula>
    </cfRule>
    <cfRule type="expression" priority="4" aboveAverage="0" equalAverage="0" bottom="0" percent="0" rank="0" text="" dxfId="1">
      <formula>AND(ISNUMBER(P3),P3&gt;0)</formula>
    </cfRule>
  </conditionalFormatting>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budget and KPI tracker | clubpilot.au/resources&amp;RPage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J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13"/>
    <col collapsed="false" customWidth="true" hidden="false" outlineLevel="0" max="3" min="3" style="1" width="9"/>
    <col collapsed="false" customWidth="true" hidden="false" outlineLevel="0" max="4" min="4" style="1" width="13"/>
    <col collapsed="false" customWidth="true" hidden="false" outlineLevel="0" max="5" min="5" style="1" width="11"/>
    <col collapsed="false" customWidth="true" hidden="false" outlineLevel="0" max="6" min="6" style="1" width="10"/>
    <col collapsed="false" customWidth="true" hidden="false" outlineLevel="0" max="7" min="7" style="1" width="13"/>
    <col collapsed="false" customWidth="true" hidden="false" outlineLevel="0" max="9" min="8" style="1" width="14"/>
    <col collapsed="false" customWidth="true" hidden="false" outlineLevel="0" max="10" min="10" style="1" width="34"/>
  </cols>
  <sheetData>
    <row r="1" customFormat="false" ht="17.35" hidden="false" customHeight="false" outlineLevel="0" collapsed="false">
      <c r="A1" s="35" t="s">
        <v>103</v>
      </c>
    </row>
    <row r="2" customFormat="false" ht="36" hidden="false" customHeight="true" outlineLevel="0" collapsed="false">
      <c r="A2" s="37" t="s">
        <v>104</v>
      </c>
      <c r="B2" s="16" t="s">
        <v>105</v>
      </c>
      <c r="C2" s="16" t="s">
        <v>68</v>
      </c>
      <c r="D2" s="16" t="s">
        <v>69</v>
      </c>
      <c r="E2" s="37" t="s">
        <v>106</v>
      </c>
      <c r="F2" s="37" t="s">
        <v>107</v>
      </c>
      <c r="G2" s="37" t="s">
        <v>108</v>
      </c>
      <c r="H2" s="37" t="s">
        <v>109</v>
      </c>
      <c r="I2" s="37" t="s">
        <v>71</v>
      </c>
      <c r="J2" s="16" t="s">
        <v>110</v>
      </c>
    </row>
    <row r="3" customFormat="false" ht="15" hidden="false" customHeight="false" outlineLevel="0" collapsed="false">
      <c r="A3" s="46" t="n">
        <f aca="false">EDATE(Setup!$B$5,0)</f>
        <v>46204</v>
      </c>
      <c r="B3" s="32" t="n">
        <v>1002</v>
      </c>
      <c r="C3" s="32" t="n">
        <v>61</v>
      </c>
      <c r="D3" s="32" t="n">
        <v>39</v>
      </c>
      <c r="E3" s="47" t="n">
        <f aca="false">IF(B3="","",B3-Setup!$B$6)</f>
        <v>22</v>
      </c>
      <c r="F3" s="48" t="n">
        <f aca="false">IF(OR(D3="",N(Setup!$B$6)=0),"",D3/Setup!$B$6)</f>
        <v>0.0397959183673469</v>
      </c>
      <c r="G3" s="47" t="n">
        <f aca="false">IF(B3="","",B3-Budget!B27)</f>
        <v>10</v>
      </c>
      <c r="H3" s="49" t="n">
        <f aca="false">IF(OR(B3="",N(B3)=0,Actuals!B27&lt;&gt;1),"",Actuals!B9/B3)</f>
        <v>52.7744510978044</v>
      </c>
      <c r="I3" s="49" t="n">
        <f aca="false">IF(OR(N(C3)=0,Actuals!B27&lt;&gt;1),"",Actuals!B17/C3)</f>
        <v>39.344262295082</v>
      </c>
      <c r="J3" s="28"/>
    </row>
    <row r="4" customFormat="false" ht="15" hidden="false" customHeight="false" outlineLevel="0" collapsed="false">
      <c r="A4" s="46" t="n">
        <f aca="false">EDATE(Setup!$B$5,1)</f>
        <v>46235</v>
      </c>
      <c r="B4" s="32" t="n">
        <v>1019</v>
      </c>
      <c r="C4" s="32" t="n">
        <v>58</v>
      </c>
      <c r="D4" s="32" t="n">
        <v>41</v>
      </c>
      <c r="E4" s="47" t="n">
        <f aca="false">IF(B4="","",B4-B3)</f>
        <v>17</v>
      </c>
      <c r="F4" s="48" t="n">
        <f aca="false">IF(OR(D4="",N(B3)=0),"",D4/B3)</f>
        <v>0.0409181636726547</v>
      </c>
      <c r="G4" s="47" t="n">
        <f aca="false">IF(B4="","",B4-Budget!C27)</f>
        <v>15</v>
      </c>
      <c r="H4" s="49" t="n">
        <f aca="false">IF(OR(B4="",N(B4)=0,Actuals!C27&lt;&gt;1),"",Actuals!C9/B4)</f>
        <v>53.9352306182532</v>
      </c>
      <c r="I4" s="49" t="n">
        <f aca="false">IF(OR(N(C4)=0,Actuals!C27&lt;&gt;1),"",Actuals!C17/C4)</f>
        <v>53.448275862069</v>
      </c>
      <c r="J4" s="28"/>
    </row>
    <row r="5" customFormat="false" ht="15" hidden="false" customHeight="false" outlineLevel="0" collapsed="false">
      <c r="A5" s="46" t="n">
        <f aca="false">EDATE(Setup!$B$5,2)</f>
        <v>46266</v>
      </c>
      <c r="B5" s="32" t="n">
        <v>1041</v>
      </c>
      <c r="C5" s="32" t="n">
        <v>66</v>
      </c>
      <c r="D5" s="32" t="n">
        <v>44</v>
      </c>
      <c r="E5" s="47" t="n">
        <f aca="false">IF(B5="","",B5-B4)</f>
        <v>22</v>
      </c>
      <c r="F5" s="48" t="n">
        <f aca="false">IF(OR(D5="",N(B4)=0),"",D5/B4)</f>
        <v>0.0431795878312071</v>
      </c>
      <c r="G5" s="47" t="n">
        <f aca="false">IF(B5="","",B5-Budget!D27)</f>
        <v>25</v>
      </c>
      <c r="H5" s="49" t="n">
        <f aca="false">IF(OR(B5="",N(B5)=0,Actuals!D27&lt;&gt;1),"",Actuals!D9/B5)</f>
        <v>54.5917387127762</v>
      </c>
      <c r="I5" s="49" t="n">
        <f aca="false">IF(OR(N(C5)=0,Actuals!D27&lt;&gt;1),"",Actuals!D17/C5)</f>
        <v>40.1515151515152</v>
      </c>
      <c r="J5" s="28"/>
    </row>
    <row r="6" customFormat="false" ht="15" hidden="false" customHeight="false" outlineLevel="0" collapsed="false">
      <c r="A6" s="46" t="n">
        <f aca="false">EDATE(Setup!$B$5,3)</f>
        <v>46296</v>
      </c>
      <c r="B6" s="32" t="n">
        <v>1050</v>
      </c>
      <c r="C6" s="32" t="n">
        <v>52</v>
      </c>
      <c r="D6" s="32" t="n">
        <v>43</v>
      </c>
      <c r="E6" s="47" t="n">
        <f aca="false">IF(B6="","",B6-B5)</f>
        <v>9</v>
      </c>
      <c r="F6" s="48" t="n">
        <f aca="false">IF(OR(D6="",N(B5)=0),"",D6/B5)</f>
        <v>0.0413064361191162</v>
      </c>
      <c r="G6" s="47" t="n">
        <f aca="false">IF(B6="","",B6-Budget!E27)</f>
        <v>22</v>
      </c>
      <c r="H6" s="49" t="n">
        <f aca="false">IF(OR(B6="",N(B6)=0,Actuals!E27&lt;&gt;1),"",Actuals!E9/B6)</f>
        <v>54.3142857142857</v>
      </c>
      <c r="I6" s="49" t="n">
        <f aca="false">IF(OR(N(C6)=0,Actuals!E27&lt;&gt;1),"",Actuals!E17/C6)</f>
        <v>42.3076923076923</v>
      </c>
      <c r="J6" s="28"/>
    </row>
    <row r="7" customFormat="false" ht="15" hidden="false" customHeight="false" outlineLevel="0" collapsed="false">
      <c r="A7" s="46" t="n">
        <f aca="false">EDATE(Setup!$B$5,4)</f>
        <v>46327</v>
      </c>
      <c r="B7" s="32"/>
      <c r="C7" s="32"/>
      <c r="D7" s="32"/>
      <c r="E7" s="47" t="str">
        <f aca="false">IF(B7="","",B7-B6)</f>
        <v/>
      </c>
      <c r="F7" s="48" t="str">
        <f aca="false">IF(OR(D7="",N(B6)=0),"",D7/B6)</f>
        <v/>
      </c>
      <c r="G7" s="47" t="str">
        <f aca="false">IF(B7="","",B7-Budget!F27)</f>
        <v/>
      </c>
      <c r="H7" s="49" t="str">
        <f aca="false">IF(OR(B7="",N(B7)=0,Actuals!F27&lt;&gt;1),"",Actuals!F9/B7)</f>
        <v/>
      </c>
      <c r="I7" s="49" t="str">
        <f aca="false">IF(OR(N(C7)=0,Actuals!F27&lt;&gt;1),"",Actuals!F17/C7)</f>
        <v/>
      </c>
      <c r="J7" s="28"/>
    </row>
    <row r="8" customFormat="false" ht="15" hidden="false" customHeight="false" outlineLevel="0" collapsed="false">
      <c r="A8" s="46" t="n">
        <f aca="false">EDATE(Setup!$B$5,5)</f>
        <v>46357</v>
      </c>
      <c r="B8" s="32"/>
      <c r="C8" s="32"/>
      <c r="D8" s="32"/>
      <c r="E8" s="47" t="str">
        <f aca="false">IF(B8="","",B8-B7)</f>
        <v/>
      </c>
      <c r="F8" s="48" t="str">
        <f aca="false">IF(OR(D8="",N(B7)=0),"",D8/B7)</f>
        <v/>
      </c>
      <c r="G8" s="47" t="str">
        <f aca="false">IF(B8="","",B8-Budget!G27)</f>
        <v/>
      </c>
      <c r="H8" s="49" t="str">
        <f aca="false">IF(OR(B8="",N(B8)=0,Actuals!G27&lt;&gt;1),"",Actuals!G9/B8)</f>
        <v/>
      </c>
      <c r="I8" s="49" t="str">
        <f aca="false">IF(OR(N(C8)=0,Actuals!G27&lt;&gt;1),"",Actuals!G17/C8)</f>
        <v/>
      </c>
      <c r="J8" s="28"/>
    </row>
    <row r="9" customFormat="false" ht="15" hidden="false" customHeight="false" outlineLevel="0" collapsed="false">
      <c r="A9" s="46" t="n">
        <f aca="false">EDATE(Setup!$B$5,6)</f>
        <v>46388</v>
      </c>
      <c r="B9" s="32"/>
      <c r="C9" s="32"/>
      <c r="D9" s="32"/>
      <c r="E9" s="47" t="str">
        <f aca="false">IF(B9="","",B9-B8)</f>
        <v/>
      </c>
      <c r="F9" s="48" t="str">
        <f aca="false">IF(OR(D9="",N(B8)=0),"",D9/B8)</f>
        <v/>
      </c>
      <c r="G9" s="47" t="str">
        <f aca="false">IF(B9="","",B9-Budget!H27)</f>
        <v/>
      </c>
      <c r="H9" s="49" t="str">
        <f aca="false">IF(OR(B9="",N(B9)=0,Actuals!H27&lt;&gt;1),"",Actuals!H9/B9)</f>
        <v/>
      </c>
      <c r="I9" s="49" t="str">
        <f aca="false">IF(OR(N(C9)=0,Actuals!H27&lt;&gt;1),"",Actuals!H17/C9)</f>
        <v/>
      </c>
      <c r="J9" s="28"/>
    </row>
    <row r="10" customFormat="false" ht="15" hidden="false" customHeight="false" outlineLevel="0" collapsed="false">
      <c r="A10" s="46" t="n">
        <f aca="false">EDATE(Setup!$B$5,7)</f>
        <v>46419</v>
      </c>
      <c r="B10" s="32"/>
      <c r="C10" s="32"/>
      <c r="D10" s="32"/>
      <c r="E10" s="47" t="str">
        <f aca="false">IF(B10="","",B10-B9)</f>
        <v/>
      </c>
      <c r="F10" s="48" t="str">
        <f aca="false">IF(OR(D10="",N(B9)=0),"",D10/B9)</f>
        <v/>
      </c>
      <c r="G10" s="47" t="str">
        <f aca="false">IF(B10="","",B10-Budget!I27)</f>
        <v/>
      </c>
      <c r="H10" s="49" t="str">
        <f aca="false">IF(OR(B10="",N(B10)=0,Actuals!I27&lt;&gt;1),"",Actuals!I9/B10)</f>
        <v/>
      </c>
      <c r="I10" s="49" t="str">
        <f aca="false">IF(OR(N(C10)=0,Actuals!I27&lt;&gt;1),"",Actuals!I17/C10)</f>
        <v/>
      </c>
      <c r="J10" s="28"/>
    </row>
    <row r="11" customFormat="false" ht="15" hidden="false" customHeight="false" outlineLevel="0" collapsed="false">
      <c r="A11" s="46" t="n">
        <f aca="false">EDATE(Setup!$B$5,8)</f>
        <v>46447</v>
      </c>
      <c r="B11" s="32"/>
      <c r="C11" s="32"/>
      <c r="D11" s="32"/>
      <c r="E11" s="47" t="str">
        <f aca="false">IF(B11="","",B11-B10)</f>
        <v/>
      </c>
      <c r="F11" s="48" t="str">
        <f aca="false">IF(OR(D11="",N(B10)=0),"",D11/B10)</f>
        <v/>
      </c>
      <c r="G11" s="47" t="str">
        <f aca="false">IF(B11="","",B11-Budget!J27)</f>
        <v/>
      </c>
      <c r="H11" s="49" t="str">
        <f aca="false">IF(OR(B11="",N(B11)=0,Actuals!J27&lt;&gt;1),"",Actuals!J9/B11)</f>
        <v/>
      </c>
      <c r="I11" s="49" t="str">
        <f aca="false">IF(OR(N(C11)=0,Actuals!J27&lt;&gt;1),"",Actuals!J17/C11)</f>
        <v/>
      </c>
      <c r="J11" s="28"/>
    </row>
    <row r="12" customFormat="false" ht="15" hidden="false" customHeight="false" outlineLevel="0" collapsed="false">
      <c r="A12" s="46" t="n">
        <f aca="false">EDATE(Setup!$B$5,9)</f>
        <v>46478</v>
      </c>
      <c r="B12" s="32"/>
      <c r="C12" s="32"/>
      <c r="D12" s="32"/>
      <c r="E12" s="47" t="str">
        <f aca="false">IF(B12="","",B12-B11)</f>
        <v/>
      </c>
      <c r="F12" s="48" t="str">
        <f aca="false">IF(OR(D12="",N(B11)=0),"",D12/B11)</f>
        <v/>
      </c>
      <c r="G12" s="47" t="str">
        <f aca="false">IF(B12="","",B12-Budget!K27)</f>
        <v/>
      </c>
      <c r="H12" s="49" t="str">
        <f aca="false">IF(OR(B12="",N(B12)=0,Actuals!K27&lt;&gt;1),"",Actuals!K9/B12)</f>
        <v/>
      </c>
      <c r="I12" s="49" t="str">
        <f aca="false">IF(OR(N(C12)=0,Actuals!K27&lt;&gt;1),"",Actuals!K17/C12)</f>
        <v/>
      </c>
      <c r="J12" s="28"/>
    </row>
    <row r="13" customFormat="false" ht="15" hidden="false" customHeight="false" outlineLevel="0" collapsed="false">
      <c r="A13" s="46" t="n">
        <f aca="false">EDATE(Setup!$B$5,10)</f>
        <v>46508</v>
      </c>
      <c r="B13" s="32"/>
      <c r="C13" s="32"/>
      <c r="D13" s="32"/>
      <c r="E13" s="47" t="str">
        <f aca="false">IF(B13="","",B13-B12)</f>
        <v/>
      </c>
      <c r="F13" s="48" t="str">
        <f aca="false">IF(OR(D13="",N(B12)=0),"",D13/B12)</f>
        <v/>
      </c>
      <c r="G13" s="47" t="str">
        <f aca="false">IF(B13="","",B13-Budget!L27)</f>
        <v/>
      </c>
      <c r="H13" s="49" t="str">
        <f aca="false">IF(OR(B13="",N(B13)=0,Actuals!L27&lt;&gt;1),"",Actuals!L9/B13)</f>
        <v/>
      </c>
      <c r="I13" s="49" t="str">
        <f aca="false">IF(OR(N(C13)=0,Actuals!L27&lt;&gt;1),"",Actuals!L17/C13)</f>
        <v/>
      </c>
      <c r="J13" s="28"/>
    </row>
    <row r="14" customFormat="false" ht="15" hidden="false" customHeight="false" outlineLevel="0" collapsed="false">
      <c r="A14" s="46" t="n">
        <f aca="false">EDATE(Setup!$B$5,11)</f>
        <v>46539</v>
      </c>
      <c r="B14" s="32"/>
      <c r="C14" s="32"/>
      <c r="D14" s="32"/>
      <c r="E14" s="47" t="str">
        <f aca="false">IF(B14="","",B14-B13)</f>
        <v/>
      </c>
      <c r="F14" s="48" t="str">
        <f aca="false">IF(OR(D14="",N(B13)=0),"",D14/B13)</f>
        <v/>
      </c>
      <c r="G14" s="47" t="str">
        <f aca="false">IF(B14="","",B14-Budget!M27)</f>
        <v/>
      </c>
      <c r="H14" s="49" t="str">
        <f aca="false">IF(OR(B14="",N(B14)=0,Actuals!M27&lt;&gt;1),"",Actuals!M9/B14)</f>
        <v/>
      </c>
      <c r="I14" s="49" t="str">
        <f aca="false">IF(OR(N(C14)=0,Actuals!M27&lt;&gt;1),"",Actuals!M17/C14)</f>
        <v/>
      </c>
      <c r="J14" s="28"/>
    </row>
    <row r="16" customFormat="false" ht="15" hidden="false" customHeight="false" outlineLevel="0" collapsed="false">
      <c r="A16" s="27" t="s">
        <v>111</v>
      </c>
    </row>
  </sheetData>
  <conditionalFormatting sqref="G3:G14">
    <cfRule type="expression" priority="2" aboveAverage="0" equalAverage="0" bottom="0" percent="0" rank="0" text="" dxfId="2">
      <formula>AND(ISNUMBER(G3),G3&lt;0)</formula>
    </cfRule>
  </conditionalFormatting>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budget and KPI tracker | clubpilot.au/resources&amp;RPage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2026-10-26T00:00:00Z</dcterms:created>
  <dc:creator>ClubPilot</dc:creator>
  <dc:description/>
  <dc:language>en-US</dc:language>
  <cp:lastModifiedBy/>
  <dcterms:modified xsi:type="dcterms:W3CDTF">2026-10-26T12:37:21Z</dcterms:modified>
  <cp:revision>0</cp:revision>
  <dc:subject/>
  <dc:title>Gym budget and KPI tracker | ClubPilot</dc:title>
</cp:coreProperties>
</file>

<file path=docProps/custom.xml><?xml version="1.0" encoding="utf-8"?>
<Properties xmlns="http://schemas.openxmlformats.org/officeDocument/2006/custom-properties" xmlns:vt="http://schemas.openxmlformats.org/officeDocument/2006/docPropsVTypes"/>
</file>